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r.zahramontazeri/Documents/CUPE4600/Budget 2020-21/"/>
    </mc:Choice>
  </mc:AlternateContent>
  <xr:revisionPtr revIDLastSave="0" documentId="13_ncr:1_{6DF61F97-EA3B-BE41-8DAC-B8EB31292D5E}" xr6:coauthVersionLast="46" xr6:coauthVersionMax="46" xr10:uidLastSave="{00000000-0000-0000-0000-000000000000}"/>
  <bookViews>
    <workbookView xWindow="620" yWindow="460" windowWidth="25500" windowHeight="166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6" i="1" l="1"/>
  <c r="M79" i="1"/>
  <c r="M78" i="1"/>
  <c r="M57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3" i="1"/>
  <c r="M32" i="1"/>
  <c r="M31" i="1"/>
  <c r="M30" i="1"/>
  <c r="M26" i="1"/>
  <c r="M25" i="1"/>
  <c r="M24" i="1"/>
  <c r="M23" i="1"/>
  <c r="M22" i="1"/>
  <c r="M21" i="1"/>
  <c r="M20" i="1"/>
  <c r="M19" i="1"/>
  <c r="M27" i="1"/>
  <c r="M15" i="1"/>
  <c r="M9" i="1"/>
  <c r="M7" i="1"/>
  <c r="M6" i="1"/>
  <c r="G86" i="1"/>
  <c r="F86" i="1"/>
  <c r="E86" i="1"/>
  <c r="D86" i="1"/>
  <c r="G70" i="1"/>
  <c r="F70" i="1"/>
  <c r="E70" i="1"/>
  <c r="D70" i="1"/>
  <c r="G73" i="1"/>
  <c r="G78" i="1" s="1"/>
  <c r="F73" i="1"/>
  <c r="F78" i="1" s="1"/>
  <c r="E73" i="1"/>
  <c r="E78" i="1" s="1"/>
  <c r="F54" i="1"/>
  <c r="E54" i="1"/>
  <c r="G49" i="1"/>
  <c r="F49" i="1"/>
  <c r="E49" i="1"/>
  <c r="G31" i="1"/>
  <c r="F31" i="1"/>
  <c r="E31" i="1"/>
  <c r="G30" i="1"/>
  <c r="G33" i="1" s="1"/>
  <c r="F30" i="1"/>
  <c r="E30" i="1"/>
  <c r="G26" i="1"/>
  <c r="G27" i="1" s="1"/>
  <c r="F26" i="1"/>
  <c r="F27" i="1" s="1"/>
  <c r="E26" i="1"/>
  <c r="G24" i="1"/>
  <c r="F24" i="1"/>
  <c r="E24" i="1"/>
  <c r="E27" i="1" s="1"/>
  <c r="G14" i="1"/>
  <c r="G15" i="1" s="1"/>
  <c r="F14" i="1"/>
  <c r="F15" i="1" s="1"/>
  <c r="E14" i="1"/>
  <c r="E15" i="1" s="1"/>
  <c r="F11" i="1"/>
  <c r="G9" i="1"/>
  <c r="F9" i="1"/>
  <c r="E9" i="1"/>
  <c r="D73" i="1"/>
  <c r="D78" i="1" s="1"/>
  <c r="D54" i="1"/>
  <c r="D49" i="1"/>
  <c r="D31" i="1"/>
  <c r="D30" i="1"/>
  <c r="D33" i="1" s="1"/>
  <c r="D26" i="1"/>
  <c r="D24" i="1"/>
  <c r="D27" i="1" s="1"/>
  <c r="D14" i="1"/>
  <c r="D9" i="1"/>
  <c r="D15" i="1" s="1"/>
  <c r="E33" i="1" l="1"/>
  <c r="F33" i="1"/>
  <c r="L78" i="1" l="1"/>
  <c r="L70" i="1"/>
  <c r="L65" i="1"/>
  <c r="L49" i="1"/>
  <c r="L31" i="1"/>
  <c r="L30" i="1"/>
  <c r="L26" i="1"/>
  <c r="L24" i="1"/>
  <c r="L27" i="1" s="1"/>
  <c r="L9" i="1"/>
  <c r="L15" i="1" s="1"/>
  <c r="L82" i="1" s="1"/>
  <c r="K70" i="1"/>
  <c r="K65" i="1"/>
  <c r="K49" i="1"/>
  <c r="K73" i="1"/>
  <c r="K78" i="1" s="1"/>
  <c r="K31" i="1"/>
  <c r="K30" i="1"/>
  <c r="K26" i="1"/>
  <c r="K24" i="1"/>
  <c r="K9" i="1"/>
  <c r="K15" i="1" s="1"/>
  <c r="K82" i="1" s="1"/>
  <c r="L33" i="1" l="1"/>
  <c r="L80" i="1"/>
  <c r="L79" i="1"/>
  <c r="K33" i="1"/>
  <c r="K80" i="1" s="1"/>
  <c r="K79" i="1"/>
  <c r="K27" i="1"/>
  <c r="K84" i="1" s="1"/>
  <c r="K86" i="1" s="1"/>
  <c r="L84" i="1"/>
  <c r="L86" i="1" s="1"/>
  <c r="J30" i="1"/>
  <c r="J37" i="1"/>
  <c r="J49" i="1" s="1"/>
  <c r="J73" i="1"/>
  <c r="J78" i="1" s="1"/>
  <c r="J31" i="1"/>
  <c r="J26" i="1"/>
  <c r="J24" i="1"/>
  <c r="J9" i="1"/>
  <c r="J15" i="1" s="1"/>
  <c r="J82" i="1" s="1"/>
  <c r="J27" i="1" l="1"/>
  <c r="J33" i="1"/>
  <c r="J84" i="1" s="1"/>
  <c r="J86" i="1" s="1"/>
  <c r="J79" i="1"/>
  <c r="J80" i="1"/>
  <c r="I26" i="1"/>
  <c r="I24" i="1"/>
  <c r="I65" i="1" l="1"/>
  <c r="H70" i="1"/>
  <c r="I70" i="1"/>
  <c r="H54" i="1"/>
  <c r="I54" i="1"/>
  <c r="I49" i="1"/>
  <c r="I27" i="1"/>
  <c r="I33" i="1"/>
  <c r="I79" i="1" s="1"/>
  <c r="I31" i="1"/>
  <c r="I30" i="1"/>
  <c r="I73" i="1"/>
  <c r="I78" i="1" s="1"/>
  <c r="I80" i="1" l="1"/>
  <c r="I84" i="1"/>
  <c r="I9" i="1"/>
  <c r="I15" i="1" l="1"/>
  <c r="I82" i="1" s="1"/>
  <c r="I86" i="1" s="1"/>
  <c r="H65" i="1"/>
  <c r="H49" i="1"/>
  <c r="H73" i="1"/>
  <c r="H78" i="1" s="1"/>
  <c r="H31" i="1"/>
  <c r="H30" i="1"/>
  <c r="H26" i="1"/>
  <c r="H24" i="1"/>
  <c r="H27" i="1" s="1"/>
  <c r="H14" i="1"/>
  <c r="H9" i="1"/>
  <c r="H15" i="1" s="1"/>
  <c r="H82" i="1" l="1"/>
  <c r="H33" i="1"/>
  <c r="H80" i="1"/>
  <c r="H84" i="1"/>
  <c r="H86" i="1" s="1"/>
  <c r="H79" i="1"/>
  <c r="C78" i="1"/>
  <c r="C70" i="1"/>
  <c r="C65" i="1"/>
  <c r="C54" i="1"/>
  <c r="C49" i="1"/>
  <c r="C33" i="1"/>
  <c r="C25" i="1" l="1"/>
  <c r="C9" i="1"/>
  <c r="C15" i="1" s="1"/>
  <c r="C82" i="1" s="1"/>
  <c r="C79" i="1" l="1"/>
  <c r="C27" i="1"/>
  <c r="C84" i="1" s="1"/>
  <c r="C86" i="1" s="1"/>
  <c r="D79" i="1"/>
  <c r="D80" i="1"/>
  <c r="E79" i="1"/>
  <c r="E80" i="1"/>
  <c r="F80" i="1"/>
  <c r="F79" i="1"/>
  <c r="G80" i="1"/>
  <c r="G79" i="1"/>
  <c r="M65" i="1"/>
</calcChain>
</file>

<file path=xl/sharedStrings.xml><?xml version="1.0" encoding="utf-8"?>
<sst xmlns="http://schemas.openxmlformats.org/spreadsheetml/2006/main" count="89" uniqueCount="87">
  <si>
    <t>Column1</t>
  </si>
  <si>
    <t>Account Type    or Number</t>
  </si>
  <si>
    <t>Budget Accounts</t>
  </si>
  <si>
    <t xml:space="preserve">REVENUE </t>
  </si>
  <si>
    <t>Dues Income</t>
  </si>
  <si>
    <t>Dues Unit I</t>
  </si>
  <si>
    <t>Dues Unit 2</t>
  </si>
  <si>
    <t xml:space="preserve">Dues Income Total </t>
  </si>
  <si>
    <t>Other Income</t>
  </si>
  <si>
    <t>Interest</t>
  </si>
  <si>
    <t>Misc.</t>
  </si>
  <si>
    <t>Strike Repay</t>
  </si>
  <si>
    <t>Other Income Total</t>
  </si>
  <si>
    <t>TOTAL REVENUE</t>
  </si>
  <si>
    <t>EXPENSES</t>
  </si>
  <si>
    <t xml:space="preserve">Affilations </t>
  </si>
  <si>
    <t>CUPE National</t>
  </si>
  <si>
    <t>CUPE Ontario</t>
  </si>
  <si>
    <t>CUPE Ottawa</t>
  </si>
  <si>
    <t>ODLC</t>
  </si>
  <si>
    <t>Others</t>
  </si>
  <si>
    <t>Strike Fund*</t>
  </si>
  <si>
    <t>OCAP Sustainers</t>
  </si>
  <si>
    <t>ISJF</t>
  </si>
  <si>
    <t>Affiliations Total</t>
  </si>
  <si>
    <t>Salaries and Benefits</t>
  </si>
  <si>
    <t>Staff Salaries</t>
  </si>
  <si>
    <t>Staff Benefits</t>
  </si>
  <si>
    <t>Retirement benefits</t>
  </si>
  <si>
    <t>Salaries and Benefits Total</t>
  </si>
  <si>
    <t xml:space="preserve">Day to Day </t>
  </si>
  <si>
    <t xml:space="preserve">Phone </t>
  </si>
  <si>
    <t>Computing and Internet</t>
  </si>
  <si>
    <t>Postage</t>
  </si>
  <si>
    <t>Rent</t>
  </si>
  <si>
    <t>Insurance</t>
  </si>
  <si>
    <t>Office Supplies</t>
  </si>
  <si>
    <t>Office improvement</t>
  </si>
  <si>
    <t>Bank Charges</t>
  </si>
  <si>
    <t>Archives &amp; Storage</t>
  </si>
  <si>
    <t>Bonding</t>
  </si>
  <si>
    <t>Accounting</t>
  </si>
  <si>
    <t>LMC Expenses</t>
  </si>
  <si>
    <t xml:space="preserve">Miscelleanous </t>
  </si>
  <si>
    <t>Day to Day Total</t>
  </si>
  <si>
    <t>Membership Outreach</t>
  </si>
  <si>
    <t>Printing, Photocopy</t>
  </si>
  <si>
    <t>Publicity</t>
  </si>
  <si>
    <t>Membership Outreach Total</t>
  </si>
  <si>
    <t>Membership Development</t>
  </si>
  <si>
    <t>Anti-O Training</t>
  </si>
  <si>
    <t>Union development &amp; Training</t>
  </si>
  <si>
    <t>Orientation</t>
  </si>
  <si>
    <t>General Membership Meetings</t>
  </si>
  <si>
    <t>Caucus/Committees &amp; Socials</t>
  </si>
  <si>
    <t>Accessibility</t>
  </si>
  <si>
    <t>TransFund</t>
  </si>
  <si>
    <t>Conventions &amp; Conferences</t>
  </si>
  <si>
    <t>Membership Development Total</t>
  </si>
  <si>
    <t>Donations</t>
  </si>
  <si>
    <t>Strike Support</t>
  </si>
  <si>
    <t>Donations Total</t>
  </si>
  <si>
    <t>Executive Expenses</t>
  </si>
  <si>
    <t>Executive committee</t>
  </si>
  <si>
    <t>Executive Retreat</t>
  </si>
  <si>
    <t>Grievance and Arbitration</t>
  </si>
  <si>
    <t>Executive Council Honorarium</t>
  </si>
  <si>
    <t>Other Committees (other)</t>
  </si>
  <si>
    <t>Executive Expenses Total</t>
  </si>
  <si>
    <t>EXPENSES TOTAL</t>
  </si>
  <si>
    <t>Total Annual Revenue</t>
  </si>
  <si>
    <t>Total Annual Expenses</t>
  </si>
  <si>
    <t>Total Surplus/Deficit</t>
  </si>
  <si>
    <t>v</t>
  </si>
  <si>
    <t xml:space="preserve">BUDGET Sep.2020-Apr2021     </t>
  </si>
  <si>
    <t xml:space="preserve">2020-2021 Budget </t>
  </si>
  <si>
    <t>September</t>
  </si>
  <si>
    <t>SAGE</t>
  </si>
  <si>
    <t>October</t>
  </si>
  <si>
    <t>November</t>
  </si>
  <si>
    <t xml:space="preserve">December </t>
  </si>
  <si>
    <t>January</t>
  </si>
  <si>
    <t>Total</t>
  </si>
  <si>
    <t>May</t>
  </si>
  <si>
    <t>June</t>
  </si>
  <si>
    <t xml:space="preserve">July 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</si>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</sst>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4"/>
      <color theme="0"/>
      <name val="Arial"/>
      <family val="2"/>
    </font>
    <font>
      <sz val="18"/>
      <color theme="1"/>
      <name val="Calibri"/>
      <family val="2"/>
      <scheme val="minor"/>
    </font>
    <font>
      <sz val="14"/>
      <color theme="1"/>
      <name val="Calibri (Body)_x0000_"/>
    </font>
    <font>
      <sz val="12"/>
      <name val="Arial"/>
      <family val="2"/>
    </font>
    <font>
      <u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5" borderId="1" xfId="0" applyFill="1" applyBorder="1"/>
    <xf numFmtId="0" fontId="0" fillId="5" borderId="0" xfId="0" applyFill="1"/>
    <xf numFmtId="0" fontId="0" fillId="0" borderId="1" xfId="0" applyFill="1" applyBorder="1"/>
    <xf numFmtId="0" fontId="0" fillId="0" borderId="0" xfId="0" applyFill="1"/>
    <xf numFmtId="0" fontId="0" fillId="4" borderId="1" xfId="0" applyFill="1" applyBorder="1"/>
    <xf numFmtId="0" fontId="0" fillId="4" borderId="0" xfId="0" applyFill="1"/>
    <xf numFmtId="43" fontId="0" fillId="4" borderId="0" xfId="0" applyNumberFormat="1" applyFill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indent="1"/>
    </xf>
    <xf numFmtId="0" fontId="6" fillId="0" borderId="1" xfId="0" applyFont="1" applyBorder="1"/>
    <xf numFmtId="43" fontId="0" fillId="0" borderId="1" xfId="0" applyNumberFormat="1" applyBorder="1"/>
    <xf numFmtId="0" fontId="6" fillId="4" borderId="1" xfId="0" applyFont="1" applyFill="1" applyBorder="1"/>
    <xf numFmtId="43" fontId="0" fillId="4" borderId="1" xfId="1" applyFont="1" applyFill="1" applyBorder="1"/>
    <xf numFmtId="43" fontId="0" fillId="5" borderId="1" xfId="0" applyNumberFormat="1" applyFill="1" applyBorder="1"/>
    <xf numFmtId="0" fontId="6" fillId="0" borderId="1" xfId="0" applyFont="1" applyFill="1" applyBorder="1" applyAlignment="1">
      <alignment horizontal="left" indent="1"/>
    </xf>
    <xf numFmtId="0" fontId="6" fillId="4" borderId="1" xfId="0" applyFont="1" applyFill="1" applyBorder="1" applyAlignment="1">
      <alignment horizontal="left" indent="1"/>
    </xf>
    <xf numFmtId="0" fontId="2" fillId="5" borderId="1" xfId="0" applyFont="1" applyFill="1" applyBorder="1"/>
    <xf numFmtId="0" fontId="9" fillId="4" borderId="1" xfId="0" applyFont="1" applyFill="1" applyBorder="1"/>
    <xf numFmtId="0" fontId="10" fillId="5" borderId="1" xfId="0" applyFont="1" applyFill="1" applyBorder="1"/>
    <xf numFmtId="43" fontId="0" fillId="4" borderId="1" xfId="0" applyNumberFormat="1" applyFill="1" applyBorder="1"/>
    <xf numFmtId="0" fontId="9" fillId="0" borderId="1" xfId="0" applyFont="1" applyBorder="1"/>
    <xf numFmtId="0" fontId="10" fillId="4" borderId="1" xfId="0" applyFont="1" applyFill="1" applyBorder="1" applyAlignment="1">
      <alignment horizontal="left" indent="1"/>
    </xf>
    <xf numFmtId="0" fontId="10" fillId="5" borderId="1" xfId="0" applyFont="1" applyFill="1" applyBorder="1" applyAlignment="1">
      <alignment horizontal="left" indent="1"/>
    </xf>
    <xf numFmtId="165" fontId="9" fillId="4" borderId="1" xfId="0" applyNumberFormat="1" applyFont="1" applyFill="1" applyBorder="1"/>
    <xf numFmtId="164" fontId="0" fillId="5" borderId="1" xfId="0" applyNumberFormat="1" applyFill="1" applyBorder="1"/>
    <xf numFmtId="43" fontId="11" fillId="5" borderId="1" xfId="0" applyNumberFormat="1" applyFont="1" applyFill="1" applyBorder="1"/>
    <xf numFmtId="0" fontId="11" fillId="0" borderId="0" xfId="0" applyFont="1"/>
    <xf numFmtId="4" fontId="0" fillId="0" borderId="1" xfId="0" applyNumberFormat="1" applyBorder="1"/>
    <xf numFmtId="4" fontId="0" fillId="4" borderId="1" xfId="0" applyNumberFormat="1" applyFill="1" applyBorder="1"/>
    <xf numFmtId="4" fontId="0" fillId="4" borderId="1" xfId="1" applyNumberFormat="1" applyFont="1" applyFill="1" applyBorder="1"/>
    <xf numFmtId="4" fontId="0" fillId="0" borderId="1" xfId="0" applyNumberFormat="1" applyFill="1" applyBorder="1"/>
    <xf numFmtId="4" fontId="7" fillId="5" borderId="1" xfId="0" applyNumberFormat="1" applyFont="1" applyFill="1" applyBorder="1"/>
    <xf numFmtId="4" fontId="0" fillId="5" borderId="1" xfId="0" applyNumberFormat="1" applyFill="1" applyBorder="1"/>
    <xf numFmtId="4" fontId="11" fillId="5" borderId="1" xfId="0" applyNumberFormat="1" applyFont="1" applyFill="1" applyBorder="1"/>
    <xf numFmtId="4" fontId="12" fillId="5" borderId="1" xfId="0" applyNumberFormat="1" applyFont="1" applyFill="1" applyBorder="1"/>
    <xf numFmtId="43" fontId="0" fillId="4" borderId="1" xfId="2" applyNumberFormat="1" applyFont="1" applyFill="1" applyBorder="1"/>
    <xf numFmtId="43" fontId="0" fillId="5" borderId="1" xfId="2" applyNumberFormat="1" applyFont="1" applyFill="1" applyBorder="1"/>
    <xf numFmtId="43" fontId="0" fillId="0" borderId="1" xfId="2" applyNumberFormat="1" applyFont="1" applyBorder="1"/>
    <xf numFmtId="43" fontId="8" fillId="5" borderId="1" xfId="2" applyNumberFormat="1" applyFont="1" applyFill="1" applyBorder="1"/>
    <xf numFmtId="43" fontId="11" fillId="5" borderId="1" xfId="2" applyNumberFormat="1" applyFont="1" applyFill="1" applyBorder="1"/>
    <xf numFmtId="0" fontId="11" fillId="5" borderId="1" xfId="2" applyNumberFormat="1" applyFont="1" applyFill="1" applyBorder="1"/>
    <xf numFmtId="0" fontId="4" fillId="0" borderId="1" xfId="0" applyFont="1" applyBorder="1" applyAlignment="1">
      <alignment horizontal="center" wrapText="1"/>
    </xf>
    <xf numFmtId="0" fontId="13" fillId="5" borderId="1" xfId="0" applyFont="1" applyFill="1" applyBorder="1"/>
    <xf numFmtId="0" fontId="6" fillId="3" borderId="2" xfId="0" applyFont="1" applyFill="1" applyBorder="1" applyAlignment="1">
      <alignment horizontal="left" indent="1"/>
    </xf>
    <xf numFmtId="0" fontId="0" fillId="0" borderId="2" xfId="0" applyBorder="1"/>
    <xf numFmtId="0" fontId="0" fillId="5" borderId="2" xfId="0" applyFill="1" applyBorder="1"/>
    <xf numFmtId="0" fontId="0" fillId="4" borderId="2" xfId="0" applyFill="1" applyBorder="1"/>
    <xf numFmtId="0" fontId="13" fillId="5" borderId="2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43" fontId="13" fillId="5" borderId="1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101601</xdr:colOff>
      <xdr:row>0</xdr:row>
      <xdr:rowOff>76200</xdr:rowOff>
    </xdr:from>
    <xdr:to>
      <xdr:col>1</xdr:col>
      <xdr:colOff>698500</xdr:colOff>
      <xdr:row>0</xdr:row>
      <xdr:rowOff>609600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2A02F3-F494-FE45-B530-CF4E5D598DE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1" y="76200"/>
          <a:ext cx="596899" cy="50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33" displayName="Table233" ref="A4:B86" totalsRowShown="0" headerRowDxfId="3" tableBorderDxfId="2">
  <tableColumns count="2">
    <tableColumn id="1" xr3:uid="{00000000-0010-0000-0000-000001000000}" name="REVENUE " dataDxfId="1"/>
    <tableColumn id="2" xr3:uid="{00000000-0010-0000-0000-000002000000}" name="Column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0"/>
  <sheetViews>
    <sheetView tabSelected="1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M65" sqref="M65"/>
    </sheetView>
  </sheetViews>
  <sheetFormatPr baseColWidth="10" defaultColWidth="10.6640625" defaultRowHeight="16"/>
  <cols>
    <col min="1" max="1" width="21.1640625" style="1" customWidth="1"/>
    <col min="2" max="2" width="21.5" style="1" customWidth="1"/>
    <col min="3" max="3" width="19.6640625" style="1" customWidth="1"/>
    <col min="4" max="4" width="16.1640625" customWidth="1"/>
    <col min="6" max="7" width="10.6640625" style="1"/>
    <col min="8" max="13" width="19.6640625" style="1" customWidth="1"/>
    <col min="14" max="14" width="10.6640625" style="1"/>
  </cols>
  <sheetData>
    <row r="1" spans="1:17" ht="71" customHeight="1">
      <c r="A1" s="9"/>
      <c r="B1" s="10" t="s">
        <v>0</v>
      </c>
    </row>
    <row r="2" spans="1:17" ht="24">
      <c r="A2" s="47" t="s">
        <v>75</v>
      </c>
      <c r="B2" s="47"/>
    </row>
    <row r="3" spans="1:17" ht="40" customHeight="1">
      <c r="A3" s="11" t="s">
        <v>1</v>
      </c>
      <c r="B3" s="12" t="s">
        <v>2</v>
      </c>
      <c r="C3" s="13" t="s">
        <v>74</v>
      </c>
      <c r="D3" s="54" t="s">
        <v>83</v>
      </c>
      <c r="E3" s="55" t="s">
        <v>84</v>
      </c>
      <c r="F3" s="54" t="s">
        <v>85</v>
      </c>
      <c r="G3" s="54" t="s">
        <v>86</v>
      </c>
      <c r="H3" s="13" t="s">
        <v>76</v>
      </c>
      <c r="I3" s="13" t="s">
        <v>78</v>
      </c>
      <c r="J3" s="13" t="s">
        <v>79</v>
      </c>
      <c r="K3" s="13" t="s">
        <v>80</v>
      </c>
      <c r="L3" s="13" t="s">
        <v>81</v>
      </c>
      <c r="M3" s="13" t="s">
        <v>82</v>
      </c>
      <c r="Q3" t="s">
        <v>73</v>
      </c>
    </row>
    <row r="4" spans="1:17" ht="18">
      <c r="A4" s="9" t="s">
        <v>3</v>
      </c>
      <c r="B4" s="10" t="s">
        <v>0</v>
      </c>
      <c r="D4" s="1"/>
      <c r="E4" s="50"/>
    </row>
    <row r="5" spans="1:17" s="3" customFormat="1">
      <c r="A5" s="14" t="s">
        <v>4</v>
      </c>
      <c r="B5" s="14"/>
      <c r="C5" s="2"/>
      <c r="D5" s="2"/>
      <c r="E5" s="51"/>
      <c r="F5" s="2"/>
      <c r="G5" s="2"/>
      <c r="H5" s="2"/>
      <c r="I5" s="2"/>
      <c r="J5" s="2"/>
      <c r="K5" s="2"/>
      <c r="L5" s="2"/>
      <c r="M5" s="2"/>
      <c r="N5" s="2"/>
    </row>
    <row r="6" spans="1:17">
      <c r="A6" s="15"/>
      <c r="B6" s="15" t="s">
        <v>5</v>
      </c>
      <c r="C6" s="33">
        <v>500000</v>
      </c>
      <c r="D6" s="1">
        <v>9026.2199999999993</v>
      </c>
      <c r="E6" s="50">
        <v>12102.47</v>
      </c>
      <c r="F6" s="1">
        <v>12452.12</v>
      </c>
      <c r="G6" s="1">
        <v>13033.6</v>
      </c>
      <c r="H6" s="33">
        <v>58146.68</v>
      </c>
      <c r="I6" s="33">
        <v>74664.37</v>
      </c>
      <c r="J6" s="16">
        <v>68680.7</v>
      </c>
      <c r="K6" s="16">
        <v>71693.06</v>
      </c>
      <c r="L6" s="16">
        <v>60357.88</v>
      </c>
      <c r="M6" s="16">
        <f>SUM(D6:L6)</f>
        <v>380157.1</v>
      </c>
    </row>
    <row r="7" spans="1:17" s="7" customFormat="1">
      <c r="A7" s="17"/>
      <c r="B7" s="17" t="s">
        <v>6</v>
      </c>
      <c r="C7" s="35">
        <v>250000</v>
      </c>
      <c r="D7" s="1">
        <v>11820.11</v>
      </c>
      <c r="E7" s="50">
        <v>15311.22</v>
      </c>
      <c r="F7" s="1">
        <v>12897.06</v>
      </c>
      <c r="G7" s="1">
        <v>13195.99</v>
      </c>
      <c r="H7" s="35">
        <v>31260.29</v>
      </c>
      <c r="I7" s="35">
        <v>32282.3</v>
      </c>
      <c r="J7" s="18">
        <v>31958.53</v>
      </c>
      <c r="K7" s="18">
        <v>31889.15</v>
      </c>
      <c r="L7" s="18">
        <v>32933.089999999997</v>
      </c>
      <c r="M7" s="16">
        <f>SUM(D7:L7)</f>
        <v>213547.74</v>
      </c>
      <c r="N7" s="6"/>
    </row>
    <row r="8" spans="1:17" s="5" customFormat="1">
      <c r="A8" s="4"/>
      <c r="B8" s="4"/>
      <c r="C8" s="36"/>
      <c r="D8" s="1"/>
      <c r="E8" s="50"/>
      <c r="F8" s="1"/>
      <c r="G8" s="1"/>
      <c r="H8" s="36"/>
      <c r="I8" s="36"/>
      <c r="J8" s="4"/>
      <c r="K8" s="4"/>
      <c r="L8" s="4"/>
      <c r="M8" s="4"/>
      <c r="N8" s="4"/>
    </row>
    <row r="9" spans="1:17" s="3" customFormat="1">
      <c r="A9" s="14" t="s">
        <v>7</v>
      </c>
      <c r="B9" s="14"/>
      <c r="C9" s="38">
        <f t="shared" ref="C9:L9" si="0">SUM(C6:C7)</f>
        <v>750000</v>
      </c>
      <c r="D9" s="2">
        <f t="shared" ref="D9:G9" si="1">SUM(D6:D7)</f>
        <v>20846.330000000002</v>
      </c>
      <c r="E9" s="51">
        <f t="shared" si="1"/>
        <v>27413.69</v>
      </c>
      <c r="F9" s="2">
        <f t="shared" si="1"/>
        <v>25349.18</v>
      </c>
      <c r="G9" s="2">
        <f t="shared" si="1"/>
        <v>26229.59</v>
      </c>
      <c r="H9" s="38">
        <f t="shared" si="0"/>
        <v>89406.97</v>
      </c>
      <c r="I9" s="38">
        <f t="shared" si="0"/>
        <v>106946.67</v>
      </c>
      <c r="J9" s="38">
        <f t="shared" si="0"/>
        <v>100639.23</v>
      </c>
      <c r="K9" s="38">
        <f t="shared" si="0"/>
        <v>103582.20999999999</v>
      </c>
      <c r="L9" s="38">
        <f t="shared" si="0"/>
        <v>93290.97</v>
      </c>
      <c r="M9" s="16">
        <f>SUM(D9:L9)</f>
        <v>593704.84</v>
      </c>
      <c r="N9" s="2"/>
    </row>
    <row r="10" spans="1:17" s="5" customFormat="1">
      <c r="A10" s="20" t="s">
        <v>8</v>
      </c>
      <c r="B10" s="20"/>
      <c r="C10" s="36"/>
      <c r="D10" s="1"/>
      <c r="E10" s="50"/>
      <c r="F10" s="1"/>
      <c r="G10" s="1"/>
      <c r="H10" s="36"/>
      <c r="I10" s="36"/>
      <c r="J10" s="4"/>
      <c r="K10" s="4"/>
      <c r="L10" s="4"/>
      <c r="M10" s="4"/>
      <c r="N10" s="4"/>
    </row>
    <row r="11" spans="1:17" s="7" customFormat="1">
      <c r="A11" s="17"/>
      <c r="B11" s="17" t="s">
        <v>9</v>
      </c>
      <c r="C11" s="35">
        <v>5000</v>
      </c>
      <c r="D11" s="6">
        <v>489.05</v>
      </c>
      <c r="E11" s="52">
        <v>433.89</v>
      </c>
      <c r="F11" s="6">
        <f>(409.04+100.79)</f>
        <v>509.83000000000004</v>
      </c>
      <c r="G11" s="6">
        <v>395.72</v>
      </c>
      <c r="H11" s="35">
        <v>383.28</v>
      </c>
      <c r="I11" s="35">
        <v>393.57</v>
      </c>
      <c r="J11" s="18">
        <v>834.94</v>
      </c>
      <c r="K11" s="18">
        <v>116.96</v>
      </c>
      <c r="L11" s="18">
        <v>139.13</v>
      </c>
      <c r="M11" s="18"/>
      <c r="N11" s="6"/>
    </row>
    <row r="12" spans="1:17" s="7" customFormat="1">
      <c r="A12" s="17"/>
      <c r="B12" s="17" t="s">
        <v>10</v>
      </c>
      <c r="C12" s="34"/>
      <c r="D12" s="6"/>
      <c r="E12" s="52"/>
      <c r="F12" s="6"/>
      <c r="G12" s="6"/>
      <c r="H12" s="34"/>
      <c r="I12" s="34"/>
      <c r="J12" s="6"/>
      <c r="K12" s="6"/>
      <c r="L12" s="6"/>
      <c r="M12" s="6"/>
      <c r="N12" s="6"/>
    </row>
    <row r="13" spans="1:17" s="7" customFormat="1">
      <c r="A13" s="17"/>
      <c r="B13" s="17" t="s">
        <v>11</v>
      </c>
      <c r="C13" s="34"/>
      <c r="D13" s="6"/>
      <c r="E13" s="52"/>
      <c r="F13" s="6"/>
      <c r="G13" s="6"/>
      <c r="H13" s="34"/>
      <c r="I13" s="34"/>
      <c r="J13" s="6"/>
      <c r="K13" s="6"/>
      <c r="L13" s="6"/>
      <c r="M13" s="6"/>
      <c r="N13" s="6"/>
    </row>
    <row r="14" spans="1:17" s="7" customFormat="1">
      <c r="A14" s="21" t="s">
        <v>12</v>
      </c>
      <c r="B14" s="21"/>
      <c r="C14" s="34">
        <v>700</v>
      </c>
      <c r="D14" s="6">
        <f t="shared" ref="D14:E14" si="2">SUM(D11:D13)</f>
        <v>489.05</v>
      </c>
      <c r="E14" s="52">
        <f t="shared" si="2"/>
        <v>433.89</v>
      </c>
      <c r="F14" s="6">
        <f>SUM(F10:F12)</f>
        <v>509.83000000000004</v>
      </c>
      <c r="G14" s="6">
        <f>SUM(G10:G12)</f>
        <v>395.72</v>
      </c>
      <c r="H14" s="34">
        <f>SUM(H10:H13)</f>
        <v>383.28</v>
      </c>
      <c r="I14" s="34"/>
      <c r="J14" s="6"/>
      <c r="K14" s="6"/>
      <c r="L14" s="6"/>
      <c r="M14" s="6"/>
      <c r="N14" s="6"/>
    </row>
    <row r="15" spans="1:17" s="3" customFormat="1" ht="18">
      <c r="A15" s="22" t="s">
        <v>13</v>
      </c>
      <c r="B15" s="22"/>
      <c r="C15" s="39">
        <f t="shared" ref="C15:L15" si="3">SUM(C9,C11)</f>
        <v>755000</v>
      </c>
      <c r="D15" s="48">
        <f t="shared" ref="D15:G15" si="4">SUM(D9,D14)</f>
        <v>21335.38</v>
      </c>
      <c r="E15" s="53">
        <f t="shared" si="4"/>
        <v>27847.579999999998</v>
      </c>
      <c r="F15" s="48">
        <f t="shared" si="4"/>
        <v>25859.010000000002</v>
      </c>
      <c r="G15" s="48">
        <f t="shared" si="4"/>
        <v>26625.31</v>
      </c>
      <c r="H15" s="39">
        <f t="shared" si="3"/>
        <v>89790.25</v>
      </c>
      <c r="I15" s="39">
        <f t="shared" si="3"/>
        <v>107340.24</v>
      </c>
      <c r="J15" s="39">
        <f t="shared" si="3"/>
        <v>101474.17</v>
      </c>
      <c r="K15" s="39">
        <f t="shared" si="3"/>
        <v>103699.17</v>
      </c>
      <c r="L15" s="39">
        <f t="shared" si="3"/>
        <v>93430.1</v>
      </c>
      <c r="M15" s="31">
        <f>SUM(D15:L15)</f>
        <v>597401.21</v>
      </c>
      <c r="N15" s="2"/>
    </row>
    <row r="16" spans="1:17" s="7" customFormat="1">
      <c r="A16" s="23"/>
      <c r="B16" s="17"/>
      <c r="C16" s="34"/>
      <c r="D16" s="6"/>
      <c r="E16" s="52"/>
      <c r="F16" s="6"/>
      <c r="G16" s="6"/>
      <c r="H16" s="34"/>
      <c r="I16" s="34"/>
      <c r="J16" s="6"/>
      <c r="K16" s="6"/>
      <c r="L16" s="6"/>
      <c r="M16" s="6"/>
      <c r="N16" s="6"/>
    </row>
    <row r="17" spans="1:14" s="3" customFormat="1" ht="15" customHeight="1">
      <c r="A17" s="22" t="s">
        <v>14</v>
      </c>
      <c r="B17" s="24"/>
      <c r="C17" s="38"/>
      <c r="D17" s="2"/>
      <c r="E17" s="51"/>
      <c r="F17" s="2"/>
      <c r="G17" s="2"/>
      <c r="H17" s="38"/>
      <c r="I17" s="38"/>
      <c r="J17" s="2"/>
      <c r="K17" s="2"/>
      <c r="L17" s="2"/>
      <c r="M17" s="2"/>
      <c r="N17" s="2"/>
    </row>
    <row r="18" spans="1:14" s="7" customFormat="1">
      <c r="A18" s="21" t="s">
        <v>15</v>
      </c>
      <c r="B18" s="21"/>
      <c r="C18" s="34"/>
      <c r="D18" s="2"/>
      <c r="E18" s="51"/>
      <c r="F18" s="2"/>
      <c r="G18" s="2"/>
      <c r="H18" s="34"/>
      <c r="I18" s="34"/>
      <c r="J18" s="6"/>
      <c r="K18" s="6"/>
      <c r="L18" s="6"/>
      <c r="M18" s="6"/>
      <c r="N18" s="6"/>
    </row>
    <row r="19" spans="1:14" s="7" customFormat="1">
      <c r="A19" s="17">
        <v>1</v>
      </c>
      <c r="B19" s="17" t="s">
        <v>16</v>
      </c>
      <c r="C19" s="34">
        <v>263500</v>
      </c>
      <c r="D19" s="6">
        <v>7322.06</v>
      </c>
      <c r="E19" s="52">
        <v>9628.7800000000007</v>
      </c>
      <c r="F19" s="6">
        <v>2094.9699999999998</v>
      </c>
      <c r="G19" s="6">
        <v>9212.8700000000008</v>
      </c>
      <c r="H19" s="34">
        <v>31403.27</v>
      </c>
      <c r="I19" s="34">
        <v>37563.910000000003</v>
      </c>
      <c r="J19" s="25">
        <v>35363.26</v>
      </c>
      <c r="K19" s="25">
        <v>36382.18</v>
      </c>
      <c r="L19" s="25">
        <v>32767.49</v>
      </c>
      <c r="M19" s="16">
        <f t="shared" ref="M19:M26" si="5">SUM(D19:L19)</f>
        <v>201738.78999999998</v>
      </c>
      <c r="N19" s="6"/>
    </row>
    <row r="20" spans="1:14" s="7" customFormat="1">
      <c r="A20" s="17">
        <v>2</v>
      </c>
      <c r="B20" s="17" t="s">
        <v>17</v>
      </c>
      <c r="C20" s="35">
        <v>12400</v>
      </c>
      <c r="D20" s="6">
        <v>344.57</v>
      </c>
      <c r="E20" s="52">
        <v>453.12</v>
      </c>
      <c r="F20" s="6">
        <v>418.99</v>
      </c>
      <c r="G20" s="6">
        <v>433.55</v>
      </c>
      <c r="H20" s="35">
        <v>1477.8</v>
      </c>
      <c r="I20" s="35">
        <v>1767.71</v>
      </c>
      <c r="J20" s="18">
        <v>1664.15</v>
      </c>
      <c r="K20" s="18">
        <v>1712.1</v>
      </c>
      <c r="L20" s="18">
        <v>1542</v>
      </c>
      <c r="M20" s="16">
        <f t="shared" si="5"/>
        <v>9813.99</v>
      </c>
      <c r="N20" s="6"/>
    </row>
    <row r="21" spans="1:14" s="7" customFormat="1">
      <c r="A21" s="17">
        <v>3</v>
      </c>
      <c r="B21" s="17" t="s">
        <v>18</v>
      </c>
      <c r="C21" s="34">
        <v>1055</v>
      </c>
      <c r="D21" s="6">
        <v>20.25</v>
      </c>
      <c r="E21" s="52">
        <v>23</v>
      </c>
      <c r="F21" s="6">
        <v>22.3</v>
      </c>
      <c r="G21" s="6">
        <v>22.4</v>
      </c>
      <c r="H21" s="34">
        <v>118.65</v>
      </c>
      <c r="I21" s="34">
        <v>134.94999999999999</v>
      </c>
      <c r="J21" s="25">
        <v>136.6</v>
      </c>
      <c r="K21" s="25">
        <v>135.80000000000001</v>
      </c>
      <c r="L21" s="25">
        <v>121.9</v>
      </c>
      <c r="M21" s="16">
        <f t="shared" si="5"/>
        <v>735.85</v>
      </c>
      <c r="N21" s="6"/>
    </row>
    <row r="22" spans="1:14" s="7" customFormat="1">
      <c r="A22" s="17">
        <v>4</v>
      </c>
      <c r="B22" s="17" t="s">
        <v>19</v>
      </c>
      <c r="C22" s="34"/>
      <c r="D22" s="6"/>
      <c r="E22" s="52"/>
      <c r="F22" s="6"/>
      <c r="G22" s="6"/>
      <c r="H22" s="34"/>
      <c r="I22" s="34"/>
      <c r="J22" s="6"/>
      <c r="K22" s="6"/>
      <c r="L22" s="6"/>
      <c r="M22" s="16">
        <f t="shared" si="5"/>
        <v>0</v>
      </c>
      <c r="N22" s="6"/>
    </row>
    <row r="23" spans="1:14" s="7" customFormat="1">
      <c r="A23" s="17">
        <v>5</v>
      </c>
      <c r="B23" s="17" t="s">
        <v>20</v>
      </c>
      <c r="C23" s="35"/>
      <c r="D23" s="6"/>
      <c r="E23" s="52"/>
      <c r="F23" s="6"/>
      <c r="G23" s="6"/>
      <c r="H23" s="35"/>
      <c r="I23" s="35"/>
      <c r="J23" s="18"/>
      <c r="K23" s="18"/>
      <c r="L23" s="18"/>
      <c r="M23" s="16">
        <f t="shared" si="5"/>
        <v>0</v>
      </c>
      <c r="N23" s="6"/>
    </row>
    <row r="24" spans="1:14" s="7" customFormat="1">
      <c r="A24" s="17">
        <v>6</v>
      </c>
      <c r="B24" s="17" t="s">
        <v>21</v>
      </c>
      <c r="C24" s="35">
        <v>62000</v>
      </c>
      <c r="D24" s="6">
        <f>(1722.84+359.46)</f>
        <v>2082.2999999999997</v>
      </c>
      <c r="E24" s="52">
        <f>(2265.59+315.68)</f>
        <v>2581.27</v>
      </c>
      <c r="F24" s="6">
        <f>(2094.97+307.9)</f>
        <v>2402.87</v>
      </c>
      <c r="G24" s="6">
        <f>(2167.73+308.94)</f>
        <v>2476.67</v>
      </c>
      <c r="H24" s="35">
        <f>(7389.01+298.38)</f>
        <v>7687.39</v>
      </c>
      <c r="I24" s="35">
        <f>(8838.57+309.59)</f>
        <v>9148.16</v>
      </c>
      <c r="J24" s="18">
        <f>(8317.29+733.92)</f>
        <v>9051.2100000000009</v>
      </c>
      <c r="K24" s="18">
        <f>(8560.51+2.39)</f>
        <v>8562.9</v>
      </c>
      <c r="L24" s="18">
        <f>(7710+2.66)</f>
        <v>7712.66</v>
      </c>
      <c r="M24" s="16">
        <f t="shared" si="5"/>
        <v>51705.430000000008</v>
      </c>
      <c r="N24" s="6"/>
    </row>
    <row r="25" spans="1:14" s="7" customFormat="1">
      <c r="A25" s="17">
        <v>7</v>
      </c>
      <c r="B25" s="17" t="s">
        <v>22</v>
      </c>
      <c r="C25" s="35">
        <f>100*8</f>
        <v>800</v>
      </c>
      <c r="D25" s="6">
        <v>100</v>
      </c>
      <c r="E25" s="52">
        <v>100</v>
      </c>
      <c r="F25" s="6">
        <v>100</v>
      </c>
      <c r="G25" s="6">
        <v>100</v>
      </c>
      <c r="H25" s="35">
        <v>100</v>
      </c>
      <c r="I25" s="35">
        <v>100</v>
      </c>
      <c r="J25" s="18">
        <v>100</v>
      </c>
      <c r="K25" s="18">
        <v>100</v>
      </c>
      <c r="L25" s="18">
        <v>100</v>
      </c>
      <c r="M25" s="16">
        <f t="shared" si="5"/>
        <v>900</v>
      </c>
      <c r="N25" s="6"/>
    </row>
    <row r="26" spans="1:14" s="7" customFormat="1">
      <c r="A26" s="17">
        <v>8</v>
      </c>
      <c r="B26" s="17" t="s">
        <v>23</v>
      </c>
      <c r="C26" s="35">
        <v>6200</v>
      </c>
      <c r="D26" s="6">
        <f>(172.28+0.37)</f>
        <v>172.65</v>
      </c>
      <c r="E26" s="52">
        <f>(226.56+0.32)</f>
        <v>226.88</v>
      </c>
      <c r="F26" s="6">
        <f>(209.5+0.35)</f>
        <v>209.85</v>
      </c>
      <c r="G26" s="6">
        <f>(216.77+0.23)</f>
        <v>217</v>
      </c>
      <c r="H26" s="35">
        <f>(738.9+0.21)</f>
        <v>739.11</v>
      </c>
      <c r="I26" s="35">
        <f>(883.86+0.23)</f>
        <v>884.09</v>
      </c>
      <c r="J26" s="18">
        <f>(831.73+0.26)</f>
        <v>831.99</v>
      </c>
      <c r="K26" s="18">
        <f>(856.05+0.3)</f>
        <v>856.34999999999991</v>
      </c>
      <c r="L26" s="18">
        <f>(771+0.34)</f>
        <v>771.34</v>
      </c>
      <c r="M26" s="16">
        <f t="shared" si="5"/>
        <v>4909.26</v>
      </c>
      <c r="N26" s="6"/>
    </row>
    <row r="27" spans="1:14" s="3" customFormat="1">
      <c r="A27" s="14" t="s">
        <v>24</v>
      </c>
      <c r="B27" s="14"/>
      <c r="C27" s="40">
        <f t="shared" ref="C27:L27" si="6">SUM(C19:C26)</f>
        <v>345955</v>
      </c>
      <c r="D27" s="48">
        <f t="shared" ref="D27:G27" si="7">SUM(D19:D26)</f>
        <v>10041.83</v>
      </c>
      <c r="E27" s="53">
        <f t="shared" si="7"/>
        <v>13013.050000000001</v>
      </c>
      <c r="F27" s="53">
        <f t="shared" si="7"/>
        <v>5248.9800000000005</v>
      </c>
      <c r="G27" s="53">
        <f t="shared" si="7"/>
        <v>12462.49</v>
      </c>
      <c r="H27" s="40">
        <f t="shared" si="6"/>
        <v>41526.22</v>
      </c>
      <c r="I27" s="40">
        <f t="shared" si="6"/>
        <v>49598.819999999992</v>
      </c>
      <c r="J27" s="40">
        <f t="shared" si="6"/>
        <v>47147.21</v>
      </c>
      <c r="K27" s="40">
        <f t="shared" si="6"/>
        <v>47749.33</v>
      </c>
      <c r="L27" s="40">
        <f t="shared" si="6"/>
        <v>43015.39</v>
      </c>
      <c r="M27" s="56">
        <f>SUM(D27:L27)</f>
        <v>269803.32</v>
      </c>
      <c r="N27" s="2"/>
    </row>
    <row r="28" spans="1:14" s="7" customFormat="1">
      <c r="A28" s="17"/>
      <c r="B28" s="17"/>
      <c r="C28" s="35"/>
      <c r="D28" s="6"/>
      <c r="E28" s="52"/>
      <c r="F28" s="6"/>
      <c r="G28" s="6"/>
      <c r="H28" s="35"/>
      <c r="I28" s="35"/>
      <c r="J28" s="18"/>
      <c r="K28" s="18"/>
      <c r="L28" s="18"/>
      <c r="M28" s="18"/>
      <c r="N28" s="6"/>
    </row>
    <row r="29" spans="1:14" s="3" customFormat="1">
      <c r="A29" s="14" t="s">
        <v>25</v>
      </c>
      <c r="B29" s="14"/>
      <c r="C29" s="38"/>
      <c r="D29" s="2"/>
      <c r="E29" s="51"/>
      <c r="F29" s="2"/>
      <c r="G29" s="2"/>
      <c r="H29" s="38"/>
      <c r="I29" s="38"/>
      <c r="J29" s="2"/>
      <c r="K29" s="2"/>
      <c r="L29" s="2"/>
      <c r="M29" s="2"/>
      <c r="N29" s="2"/>
    </row>
    <row r="30" spans="1:14" s="7" customFormat="1">
      <c r="A30" s="17">
        <v>9</v>
      </c>
      <c r="B30" s="17" t="s">
        <v>26</v>
      </c>
      <c r="C30" s="34">
        <v>137350</v>
      </c>
      <c r="D30" s="6">
        <f>(14802.88+734.6+295.74+20.8+289.66)</f>
        <v>16143.679999999998</v>
      </c>
      <c r="E30" s="52">
        <f>(15862.88+773.36+323.4+20.8+289.66)</f>
        <v>17270.099999999999</v>
      </c>
      <c r="F30" s="6">
        <f>(14802.88+743.23+305.2+20.8+289.66)</f>
        <v>16161.769999999999</v>
      </c>
      <c r="G30" s="6">
        <f>(14802.88+754.53+316.43+20.8+289.66)</f>
        <v>16184.3</v>
      </c>
      <c r="H30" s="34">
        <f>(14802.86+734.6+300.94+20.8+289.66)</f>
        <v>16148.86</v>
      </c>
      <c r="I30" s="34">
        <f>14802.88+232.4+734.44+20.8+289.66</f>
        <v>16080.179999999998</v>
      </c>
      <c r="J30" s="6">
        <f>(14802.88+468.08+181.46+20.8+289.66)</f>
        <v>15762.879999999997</v>
      </c>
      <c r="K30" s="6">
        <f>(14802.88+446.68+102.34+20.8+289.66)</f>
        <v>15662.359999999999</v>
      </c>
      <c r="L30" s="6">
        <f>(14802.88+1086.22+484.1+20.8+289.66)</f>
        <v>16683.66</v>
      </c>
      <c r="M30" s="16">
        <f t="shared" ref="M30:M33" si="8">SUM(D30:L30)</f>
        <v>146097.78999999998</v>
      </c>
      <c r="N30" s="6"/>
    </row>
    <row r="31" spans="1:14" s="7" customFormat="1">
      <c r="A31" s="17">
        <v>10</v>
      </c>
      <c r="B31" s="17" t="s">
        <v>27</v>
      </c>
      <c r="C31" s="34">
        <v>37700</v>
      </c>
      <c r="D31" s="6">
        <f>(1036.2+1349.18+60)</f>
        <v>2445.38</v>
      </c>
      <c r="E31" s="52">
        <f>(1036.2+1407.64+248.87+60)</f>
        <v>2752.71</v>
      </c>
      <c r="F31" s="6">
        <f>(1036.2+1407.64+426+60+10)</f>
        <v>2939.84</v>
      </c>
      <c r="G31" s="6">
        <f>(1036.2+1407.64+554.98+378+60)</f>
        <v>3436.82</v>
      </c>
      <c r="H31" s="34">
        <f>(1036.2+1407.64+308+60)</f>
        <v>2811.84</v>
      </c>
      <c r="I31" s="34">
        <f>1036.2+1407.64+75+60</f>
        <v>2578.84</v>
      </c>
      <c r="J31" s="6">
        <f>(1036.2+1407.64+60)</f>
        <v>2503.84</v>
      </c>
      <c r="K31" s="6">
        <f>(1036.2+1407.64+160)</f>
        <v>2603.84</v>
      </c>
      <c r="L31" s="6">
        <f>(1036.2+1407.64+1000+110+30.47)</f>
        <v>3584.31</v>
      </c>
      <c r="M31" s="16">
        <f t="shared" si="8"/>
        <v>25657.420000000002</v>
      </c>
      <c r="N31" s="6"/>
    </row>
    <row r="32" spans="1:14" s="7" customFormat="1">
      <c r="A32" s="17">
        <v>11</v>
      </c>
      <c r="B32" s="17" t="s">
        <v>28</v>
      </c>
      <c r="C32" s="34"/>
      <c r="D32" s="6"/>
      <c r="E32" s="52"/>
      <c r="F32" s="6"/>
      <c r="G32" s="6"/>
      <c r="H32" s="34"/>
      <c r="I32" s="34"/>
      <c r="J32" s="6">
        <v>1120</v>
      </c>
      <c r="K32" s="6"/>
      <c r="L32" s="6"/>
      <c r="M32" s="16">
        <f t="shared" si="8"/>
        <v>1120</v>
      </c>
      <c r="N32" s="6"/>
    </row>
    <row r="33" spans="1:18" s="3" customFormat="1">
      <c r="A33" s="14" t="s">
        <v>29</v>
      </c>
      <c r="B33" s="14"/>
      <c r="C33" s="37">
        <f t="shared" ref="C33:L33" si="9">SUM(C30:C32)</f>
        <v>175050</v>
      </c>
      <c r="D33" s="48">
        <f t="shared" si="9"/>
        <v>18589.059999999998</v>
      </c>
      <c r="E33" s="53">
        <f t="shared" si="9"/>
        <v>20022.809999999998</v>
      </c>
      <c r="F33" s="53">
        <f t="shared" si="9"/>
        <v>19101.61</v>
      </c>
      <c r="G33" s="53">
        <f t="shared" si="9"/>
        <v>19621.12</v>
      </c>
      <c r="H33" s="37">
        <f t="shared" si="9"/>
        <v>18960.7</v>
      </c>
      <c r="I33" s="37">
        <f t="shared" si="9"/>
        <v>18659.019999999997</v>
      </c>
      <c r="J33" s="37">
        <f t="shared" si="9"/>
        <v>19386.719999999998</v>
      </c>
      <c r="K33" s="37">
        <f t="shared" si="9"/>
        <v>18266.199999999997</v>
      </c>
      <c r="L33" s="37">
        <f t="shared" si="9"/>
        <v>20267.97</v>
      </c>
      <c r="M33" s="19">
        <f t="shared" si="8"/>
        <v>172875.21</v>
      </c>
    </row>
    <row r="34" spans="1:18">
      <c r="A34" s="26"/>
      <c r="B34" s="15"/>
      <c r="C34" s="33"/>
      <c r="D34" s="1"/>
      <c r="E34" s="50"/>
      <c r="H34" s="33"/>
      <c r="I34" s="33"/>
    </row>
    <row r="35" spans="1:18" s="3" customFormat="1">
      <c r="A35" s="14" t="s">
        <v>30</v>
      </c>
      <c r="B35" s="14"/>
      <c r="C35" s="38"/>
      <c r="D35" s="49"/>
      <c r="E35" s="49"/>
      <c r="F35" s="49"/>
      <c r="G35" s="49"/>
      <c r="H35" s="38"/>
      <c r="I35" s="38"/>
      <c r="J35" s="2"/>
      <c r="K35" s="2"/>
      <c r="L35" s="2"/>
      <c r="M35" s="2"/>
      <c r="N35" s="2"/>
    </row>
    <row r="36" spans="1:18" s="7" customFormat="1">
      <c r="A36" s="17">
        <v>12</v>
      </c>
      <c r="B36" s="17" t="s">
        <v>31</v>
      </c>
      <c r="C36" s="34">
        <v>1000</v>
      </c>
      <c r="D36" s="6">
        <v>118.95</v>
      </c>
      <c r="E36" s="52">
        <v>118.95</v>
      </c>
      <c r="F36" s="6">
        <v>118.95</v>
      </c>
      <c r="G36" s="6">
        <v>118.95</v>
      </c>
      <c r="H36" s="34">
        <v>110.35</v>
      </c>
      <c r="I36" s="34">
        <v>110.35</v>
      </c>
      <c r="J36" s="25">
        <v>110.35</v>
      </c>
      <c r="K36" s="25">
        <v>110.35</v>
      </c>
      <c r="L36" s="25">
        <v>110.35</v>
      </c>
      <c r="M36" s="16">
        <f t="shared" ref="M36:M49" si="10">SUM(D36:L36)</f>
        <v>1027.55</v>
      </c>
      <c r="N36" s="6"/>
      <c r="R36" s="8"/>
    </row>
    <row r="37" spans="1:18" s="7" customFormat="1">
      <c r="A37" s="17">
        <v>13</v>
      </c>
      <c r="B37" s="17" t="s">
        <v>32</v>
      </c>
      <c r="C37" s="34">
        <v>2400</v>
      </c>
      <c r="D37" s="6">
        <v>163.1</v>
      </c>
      <c r="E37" s="52">
        <v>160.9</v>
      </c>
      <c r="F37" s="6">
        <v>161.05000000000001</v>
      </c>
      <c r="G37" s="6">
        <v>160.47</v>
      </c>
      <c r="H37" s="34">
        <v>159.47</v>
      </c>
      <c r="I37" s="34">
        <v>160.15</v>
      </c>
      <c r="J37" s="6">
        <f>(156.43+367.94)</f>
        <v>524.37</v>
      </c>
      <c r="K37" s="6">
        <v>132.5</v>
      </c>
      <c r="L37" s="6">
        <v>796.74</v>
      </c>
      <c r="M37" s="16">
        <f t="shared" si="10"/>
        <v>2418.75</v>
      </c>
      <c r="N37" s="6"/>
    </row>
    <row r="38" spans="1:18" s="7" customFormat="1">
      <c r="A38" s="17">
        <v>14</v>
      </c>
      <c r="B38" s="17" t="s">
        <v>33</v>
      </c>
      <c r="C38" s="34">
        <v>200</v>
      </c>
      <c r="D38" s="6"/>
      <c r="E38" s="52"/>
      <c r="F38" s="6"/>
      <c r="G38" s="6"/>
      <c r="H38" s="34">
        <v>103.96</v>
      </c>
      <c r="I38" s="34"/>
      <c r="J38" s="6"/>
      <c r="L38" s="6"/>
      <c r="M38" s="16">
        <f t="shared" si="10"/>
        <v>103.96</v>
      </c>
      <c r="N38" s="6"/>
    </row>
    <row r="39" spans="1:18" s="7" customFormat="1">
      <c r="A39" s="17">
        <v>15</v>
      </c>
      <c r="B39" s="17" t="s">
        <v>34</v>
      </c>
      <c r="C39" s="35">
        <v>7500</v>
      </c>
      <c r="D39" s="6">
        <v>644.87</v>
      </c>
      <c r="E39" s="52">
        <v>644.87</v>
      </c>
      <c r="F39" s="6">
        <v>644.87</v>
      </c>
      <c r="G39" s="6">
        <v>644.87</v>
      </c>
      <c r="H39" s="35">
        <v>644.87</v>
      </c>
      <c r="I39" s="35">
        <v>644.87</v>
      </c>
      <c r="J39" s="18">
        <v>644.87</v>
      </c>
      <c r="K39" s="18">
        <v>644.87</v>
      </c>
      <c r="L39" s="18">
        <v>644.87</v>
      </c>
      <c r="M39" s="16">
        <f t="shared" si="10"/>
        <v>5803.83</v>
      </c>
      <c r="N39" s="6"/>
    </row>
    <row r="40" spans="1:18" s="7" customFormat="1">
      <c r="A40" s="17">
        <v>16</v>
      </c>
      <c r="B40" s="17" t="s">
        <v>35</v>
      </c>
      <c r="C40" s="34">
        <v>920</v>
      </c>
      <c r="D40" s="6">
        <v>112.68</v>
      </c>
      <c r="E40" s="52">
        <v>112.68</v>
      </c>
      <c r="F40" s="6">
        <v>112.68</v>
      </c>
      <c r="G40" s="6"/>
      <c r="H40" s="34">
        <v>111.24</v>
      </c>
      <c r="I40" s="34"/>
      <c r="J40" s="25"/>
      <c r="K40" s="25"/>
      <c r="L40" s="25"/>
      <c r="M40" s="16">
        <f t="shared" si="10"/>
        <v>449.28000000000003</v>
      </c>
      <c r="N40" s="6"/>
    </row>
    <row r="41" spans="1:18" s="7" customFormat="1">
      <c r="A41" s="17">
        <v>17</v>
      </c>
      <c r="B41" s="17" t="s">
        <v>36</v>
      </c>
      <c r="C41" s="35">
        <v>800</v>
      </c>
      <c r="D41" s="6">
        <v>18.71</v>
      </c>
      <c r="E41" s="52">
        <v>379.85</v>
      </c>
      <c r="F41" s="6">
        <v>63.49</v>
      </c>
      <c r="G41" s="6">
        <v>2</v>
      </c>
      <c r="H41" s="35"/>
      <c r="I41" s="35">
        <v>146.88999999999999</v>
      </c>
      <c r="J41" s="18">
        <v>385.68</v>
      </c>
      <c r="K41" s="6">
        <v>240</v>
      </c>
      <c r="L41" s="18"/>
      <c r="M41" s="16">
        <f t="shared" si="10"/>
        <v>1236.6200000000001</v>
      </c>
      <c r="N41" s="6"/>
    </row>
    <row r="42" spans="1:18" s="7" customFormat="1">
      <c r="A42" s="17">
        <v>18</v>
      </c>
      <c r="B42" s="17" t="s">
        <v>37</v>
      </c>
      <c r="C42" s="34">
        <v>5000</v>
      </c>
      <c r="D42" s="6"/>
      <c r="E42" s="52"/>
      <c r="F42" s="6"/>
      <c r="G42" s="6"/>
      <c r="H42" s="34"/>
      <c r="I42" s="34"/>
      <c r="J42" s="6"/>
      <c r="K42" s="6"/>
      <c r="L42" s="6"/>
      <c r="M42" s="16">
        <f t="shared" si="10"/>
        <v>0</v>
      </c>
      <c r="N42" s="6"/>
    </row>
    <row r="43" spans="1:18" s="7" customFormat="1">
      <c r="A43" s="17">
        <v>19</v>
      </c>
      <c r="B43" s="17" t="s">
        <v>38</v>
      </c>
      <c r="C43" s="34">
        <v>100</v>
      </c>
      <c r="D43" s="6">
        <v>8.7899999999999991</v>
      </c>
      <c r="E43" s="52"/>
      <c r="F43" s="6">
        <v>31.25</v>
      </c>
      <c r="G43" s="6"/>
      <c r="H43" s="34">
        <v>30</v>
      </c>
      <c r="I43" s="34"/>
      <c r="J43" s="6"/>
      <c r="K43" s="6">
        <v>1.25</v>
      </c>
      <c r="L43" s="6">
        <v>15</v>
      </c>
      <c r="M43" s="16">
        <f t="shared" si="10"/>
        <v>86.289999999999992</v>
      </c>
      <c r="N43" s="6"/>
    </row>
    <row r="44" spans="1:18" s="7" customFormat="1">
      <c r="A44" s="17">
        <v>20</v>
      </c>
      <c r="B44" s="17" t="s">
        <v>39</v>
      </c>
      <c r="C44" s="35">
        <v>1720</v>
      </c>
      <c r="D44" s="6"/>
      <c r="E44" s="52"/>
      <c r="F44" s="6"/>
      <c r="G44" s="6"/>
      <c r="H44" s="35">
        <v>212.44</v>
      </c>
      <c r="I44" s="35">
        <v>212.44</v>
      </c>
      <c r="J44" s="18">
        <v>212.44</v>
      </c>
      <c r="K44" s="18">
        <v>212.44</v>
      </c>
      <c r="L44" s="18">
        <v>228.26</v>
      </c>
      <c r="M44" s="16">
        <f t="shared" si="10"/>
        <v>1078.02</v>
      </c>
      <c r="N44" s="6"/>
    </row>
    <row r="45" spans="1:18" s="7" customFormat="1">
      <c r="A45" s="17">
        <v>21</v>
      </c>
      <c r="B45" s="17" t="s">
        <v>40</v>
      </c>
      <c r="C45" s="34">
        <v>350</v>
      </c>
      <c r="D45" s="6">
        <v>212.44</v>
      </c>
      <c r="E45" s="52">
        <v>212.44</v>
      </c>
      <c r="F45" s="6">
        <v>212.44</v>
      </c>
      <c r="G45" s="6">
        <v>212.44</v>
      </c>
      <c r="H45" s="34"/>
      <c r="I45" s="34"/>
      <c r="J45" s="6"/>
      <c r="K45" s="6"/>
      <c r="L45" s="6"/>
      <c r="M45" s="16">
        <f t="shared" si="10"/>
        <v>849.76</v>
      </c>
      <c r="N45" s="6"/>
    </row>
    <row r="46" spans="1:18" s="7" customFormat="1">
      <c r="A46" s="17">
        <v>22</v>
      </c>
      <c r="B46" s="17" t="s">
        <v>41</v>
      </c>
      <c r="C46" s="34"/>
      <c r="D46" s="6"/>
      <c r="E46" s="52"/>
      <c r="F46" s="6"/>
      <c r="G46" s="6"/>
      <c r="H46" s="34"/>
      <c r="I46" s="34"/>
      <c r="J46" s="6"/>
      <c r="K46" s="6"/>
      <c r="L46" s="6"/>
      <c r="M46" s="16">
        <f t="shared" si="10"/>
        <v>0</v>
      </c>
      <c r="N46" s="6"/>
    </row>
    <row r="47" spans="1:18" s="7" customFormat="1">
      <c r="A47" s="17">
        <v>23</v>
      </c>
      <c r="B47" s="17" t="s">
        <v>42</v>
      </c>
      <c r="C47" s="34">
        <v>500</v>
      </c>
      <c r="D47" s="6"/>
      <c r="E47" s="52"/>
      <c r="F47" s="6"/>
      <c r="G47" s="6"/>
      <c r="H47" s="34"/>
      <c r="I47" s="34"/>
      <c r="J47" s="6"/>
      <c r="K47" s="6"/>
      <c r="L47" s="6"/>
      <c r="M47" s="16">
        <f t="shared" si="10"/>
        <v>0</v>
      </c>
      <c r="N47" s="6"/>
    </row>
    <row r="48" spans="1:18" s="7" customFormat="1">
      <c r="A48" s="17">
        <v>24</v>
      </c>
      <c r="B48" s="17" t="s">
        <v>43</v>
      </c>
      <c r="C48" s="34">
        <v>100</v>
      </c>
      <c r="D48" s="6">
        <v>1766.64</v>
      </c>
      <c r="E48" s="52"/>
      <c r="F48" s="6"/>
      <c r="G48" s="6"/>
      <c r="H48" s="34"/>
      <c r="I48" s="34">
        <v>4</v>
      </c>
      <c r="J48" s="6"/>
      <c r="K48" s="6"/>
      <c r="L48" s="6"/>
      <c r="M48" s="16">
        <f t="shared" si="10"/>
        <v>1770.64</v>
      </c>
      <c r="N48" s="6"/>
    </row>
    <row r="49" spans="1:14" s="3" customFormat="1">
      <c r="A49" s="14" t="s">
        <v>44</v>
      </c>
      <c r="B49" s="14"/>
      <c r="C49" s="19">
        <f t="shared" ref="C49:L49" si="11">SUM(C36:C48)</f>
        <v>20590</v>
      </c>
      <c r="D49" s="48">
        <f>SUM(D36:D48)</f>
        <v>3046.1800000000003</v>
      </c>
      <c r="E49" s="53">
        <f>SUM(E36:E48)</f>
        <v>1629.69</v>
      </c>
      <c r="F49" s="53">
        <f>SUM(F36:F48)</f>
        <v>1344.73</v>
      </c>
      <c r="G49" s="53">
        <f>SUM(G36:G48)</f>
        <v>1138.73</v>
      </c>
      <c r="H49" s="19">
        <f t="shared" si="11"/>
        <v>1372.33</v>
      </c>
      <c r="I49" s="19">
        <f t="shared" si="11"/>
        <v>1278.7</v>
      </c>
      <c r="J49" s="19">
        <f t="shared" si="11"/>
        <v>1877.7100000000003</v>
      </c>
      <c r="K49" s="19">
        <f t="shared" si="11"/>
        <v>1341.41</v>
      </c>
      <c r="L49" s="19">
        <f t="shared" si="11"/>
        <v>1795.22</v>
      </c>
      <c r="M49" s="19">
        <f t="shared" si="10"/>
        <v>14824.7</v>
      </c>
      <c r="N49" s="2"/>
    </row>
    <row r="50" spans="1:14" s="7" customFormat="1" ht="18">
      <c r="A50" s="27"/>
      <c r="B50" s="27"/>
      <c r="C50" s="41"/>
      <c r="H50" s="41"/>
      <c r="I50" s="41"/>
      <c r="J50" s="6"/>
      <c r="K50" s="6"/>
      <c r="L50" s="6"/>
      <c r="M50" s="6"/>
      <c r="N50" s="6"/>
    </row>
    <row r="51" spans="1:14" s="3" customFormat="1">
      <c r="A51" s="14" t="s">
        <v>45</v>
      </c>
      <c r="B51" s="14"/>
      <c r="C51" s="42"/>
      <c r="D51" s="2"/>
      <c r="E51" s="51"/>
      <c r="F51" s="2"/>
      <c r="G51" s="2"/>
      <c r="H51" s="42"/>
      <c r="I51" s="42"/>
      <c r="J51" s="2"/>
      <c r="K51" s="2"/>
      <c r="L51" s="2"/>
      <c r="M51" s="2"/>
      <c r="N51" s="2"/>
    </row>
    <row r="52" spans="1:14" s="7" customFormat="1">
      <c r="A52" s="17">
        <v>25</v>
      </c>
      <c r="B52" s="17" t="s">
        <v>46</v>
      </c>
      <c r="C52" s="41">
        <v>1000</v>
      </c>
      <c r="H52" s="41"/>
      <c r="I52" s="41"/>
      <c r="J52" s="18"/>
      <c r="K52" s="18"/>
      <c r="L52" s="18"/>
      <c r="M52" s="18"/>
      <c r="N52" s="6"/>
    </row>
    <row r="53" spans="1:14" s="7" customFormat="1">
      <c r="A53" s="17">
        <v>26</v>
      </c>
      <c r="B53" s="17" t="s">
        <v>47</v>
      </c>
      <c r="C53" s="41">
        <v>1500</v>
      </c>
      <c r="D53" s="6"/>
      <c r="E53" s="52"/>
      <c r="F53" s="6"/>
      <c r="G53" s="6"/>
      <c r="H53" s="41"/>
      <c r="I53" s="41"/>
      <c r="J53" s="6"/>
      <c r="K53" s="6"/>
      <c r="L53" s="6"/>
      <c r="M53" s="6"/>
      <c r="N53" s="6"/>
    </row>
    <row r="54" spans="1:14" s="3" customFormat="1">
      <c r="A54" s="14" t="s">
        <v>48</v>
      </c>
      <c r="B54" s="14"/>
      <c r="C54" s="42">
        <f>SUM(C52:C53)</f>
        <v>2500</v>
      </c>
      <c r="D54" s="48">
        <f>SUM(D53:D53)</f>
        <v>0</v>
      </c>
      <c r="E54" s="53">
        <f>SUM(E53:E53)</f>
        <v>0</v>
      </c>
      <c r="F54" s="53">
        <f>SUM(F53:F53)</f>
        <v>0</v>
      </c>
      <c r="G54" s="2"/>
      <c r="H54" s="42">
        <f t="shared" ref="H54:I54" si="12">SUM(H52:H53)</f>
        <v>0</v>
      </c>
      <c r="I54" s="42">
        <f t="shared" si="12"/>
        <v>0</v>
      </c>
      <c r="J54" s="19"/>
      <c r="K54" s="19"/>
      <c r="L54" s="19"/>
      <c r="M54" s="19"/>
      <c r="N54" s="2"/>
    </row>
    <row r="55" spans="1:14">
      <c r="A55" s="26"/>
      <c r="B55" s="15"/>
      <c r="C55" s="43"/>
      <c r="D55" s="1"/>
      <c r="E55" s="50"/>
      <c r="H55" s="43"/>
      <c r="I55" s="43"/>
    </row>
    <row r="56" spans="1:14" s="3" customFormat="1">
      <c r="A56" s="14" t="s">
        <v>49</v>
      </c>
      <c r="B56" s="14"/>
      <c r="C56" s="42"/>
      <c r="D56" s="2"/>
      <c r="E56" s="51"/>
      <c r="F56" s="2"/>
      <c r="G56" s="2"/>
      <c r="H56" s="42"/>
      <c r="I56" s="42"/>
      <c r="J56" s="2"/>
      <c r="K56" s="2"/>
      <c r="L56" s="2"/>
      <c r="M56" s="2"/>
      <c r="N56" s="2"/>
    </row>
    <row r="57" spans="1:14" s="7" customFormat="1">
      <c r="A57" s="17">
        <v>27</v>
      </c>
      <c r="B57" s="17" t="s">
        <v>50</v>
      </c>
      <c r="C57" s="41">
        <v>1000</v>
      </c>
      <c r="H57" s="41"/>
      <c r="I57" s="41"/>
      <c r="J57" s="6"/>
      <c r="K57" s="6">
        <v>600</v>
      </c>
      <c r="L57" s="6"/>
      <c r="M57" s="16">
        <f>SUM(D57:L57)</f>
        <v>600</v>
      </c>
      <c r="N57" s="6"/>
    </row>
    <row r="58" spans="1:14" s="7" customFormat="1">
      <c r="A58" s="17">
        <v>28</v>
      </c>
      <c r="B58" s="17" t="s">
        <v>51</v>
      </c>
      <c r="C58" s="41">
        <v>500</v>
      </c>
      <c r="D58" s="6"/>
      <c r="E58" s="52"/>
      <c r="F58" s="6"/>
      <c r="G58" s="6"/>
      <c r="H58" s="41"/>
      <c r="I58" s="41"/>
      <c r="J58" s="6"/>
      <c r="K58" s="6"/>
      <c r="L58" s="6"/>
      <c r="M58" s="6"/>
      <c r="N58" s="6"/>
    </row>
    <row r="59" spans="1:14" s="7" customFormat="1">
      <c r="A59" s="17">
        <v>29</v>
      </c>
      <c r="B59" s="17" t="s">
        <v>52</v>
      </c>
      <c r="C59" s="41">
        <v>200</v>
      </c>
      <c r="D59" s="6"/>
      <c r="E59" s="52"/>
      <c r="F59" s="6"/>
      <c r="G59" s="6"/>
      <c r="H59" s="41"/>
      <c r="I59" s="41"/>
      <c r="J59" s="6"/>
      <c r="K59" s="6"/>
      <c r="L59" s="6"/>
      <c r="M59" s="6"/>
      <c r="N59" s="6"/>
    </row>
    <row r="60" spans="1:14" s="7" customFormat="1">
      <c r="A60" s="17">
        <v>30</v>
      </c>
      <c r="B60" s="17" t="s">
        <v>53</v>
      </c>
      <c r="C60" s="41">
        <v>2000</v>
      </c>
      <c r="D60" s="6"/>
      <c r="E60" s="52"/>
      <c r="F60" s="6"/>
      <c r="G60" s="6"/>
      <c r="H60" s="41"/>
      <c r="I60" s="41"/>
      <c r="J60" s="6"/>
      <c r="K60" s="6"/>
      <c r="L60" s="6"/>
      <c r="M60" s="6"/>
      <c r="N60" s="6"/>
    </row>
    <row r="61" spans="1:14" s="7" customFormat="1">
      <c r="A61" s="17">
        <v>31</v>
      </c>
      <c r="B61" s="17" t="s">
        <v>54</v>
      </c>
      <c r="C61" s="41">
        <v>1000</v>
      </c>
      <c r="D61" s="6"/>
      <c r="E61" s="52"/>
      <c r="F61" s="6"/>
      <c r="G61" s="6"/>
      <c r="H61" s="41">
        <v>68.77</v>
      </c>
      <c r="I61" s="41"/>
      <c r="J61" s="6"/>
      <c r="K61" s="6"/>
      <c r="L61" s="6"/>
      <c r="M61" s="6"/>
      <c r="N61" s="6"/>
    </row>
    <row r="62" spans="1:14" s="7" customFormat="1">
      <c r="A62" s="17">
        <v>32</v>
      </c>
      <c r="B62" s="17" t="s">
        <v>55</v>
      </c>
      <c r="C62" s="41">
        <v>500</v>
      </c>
      <c r="D62" s="6"/>
      <c r="E62" s="52"/>
      <c r="F62" s="6"/>
      <c r="G62" s="6"/>
      <c r="H62" s="41"/>
      <c r="I62" s="41"/>
      <c r="J62" s="6"/>
      <c r="K62" s="6"/>
      <c r="L62" s="6"/>
      <c r="M62" s="6"/>
      <c r="N62" s="6"/>
    </row>
    <row r="63" spans="1:14" s="7" customFormat="1">
      <c r="A63" s="17">
        <v>33</v>
      </c>
      <c r="B63" s="17" t="s">
        <v>56</v>
      </c>
      <c r="C63" s="41">
        <v>5000</v>
      </c>
      <c r="D63" s="6"/>
      <c r="E63" s="52"/>
      <c r="F63" s="6"/>
      <c r="G63" s="6"/>
      <c r="H63" s="41"/>
      <c r="I63" s="41"/>
      <c r="J63" s="6"/>
      <c r="K63" s="6"/>
      <c r="L63" s="6"/>
      <c r="M63" s="6"/>
      <c r="N63" s="6"/>
    </row>
    <row r="64" spans="1:14" s="7" customFormat="1">
      <c r="A64" s="17">
        <v>34</v>
      </c>
      <c r="B64" s="17" t="s">
        <v>57</v>
      </c>
      <c r="C64" s="41">
        <v>1000</v>
      </c>
      <c r="D64" s="6"/>
      <c r="E64" s="52"/>
      <c r="F64" s="6"/>
      <c r="G64" s="6"/>
      <c r="H64" s="41"/>
      <c r="I64" s="41"/>
      <c r="J64" s="6"/>
      <c r="K64" s="6"/>
      <c r="L64" s="6"/>
      <c r="M64" s="6"/>
      <c r="N64" s="6"/>
    </row>
    <row r="65" spans="1:14" s="3" customFormat="1">
      <c r="A65" s="14" t="s">
        <v>58</v>
      </c>
      <c r="B65" s="14"/>
      <c r="C65" s="42">
        <f>SUM(C57:C64)</f>
        <v>11200</v>
      </c>
      <c r="D65" s="48">
        <v>0</v>
      </c>
      <c r="E65" s="53">
        <v>0</v>
      </c>
      <c r="F65" s="53">
        <v>0</v>
      </c>
      <c r="G65" s="53">
        <v>0</v>
      </c>
      <c r="H65" s="42">
        <f>SUM(H57:H64)</f>
        <v>68.77</v>
      </c>
      <c r="I65" s="42">
        <f>SUM(I57:I64)</f>
        <v>0</v>
      </c>
      <c r="J65" s="2"/>
      <c r="K65" s="42">
        <f>SUM(K57:K64)</f>
        <v>600</v>
      </c>
      <c r="L65" s="42">
        <f>SUM(L57:L64)</f>
        <v>0</v>
      </c>
      <c r="M65" s="19">
        <f>SUM(D65:L65)</f>
        <v>668.77</v>
      </c>
      <c r="N65" s="2"/>
    </row>
    <row r="66" spans="1:14" s="7" customFormat="1">
      <c r="A66" s="17"/>
      <c r="B66" s="17"/>
      <c r="C66" s="41"/>
      <c r="D66" s="6"/>
      <c r="E66" s="52"/>
      <c r="F66" s="6"/>
      <c r="G66" s="6"/>
      <c r="H66" s="41"/>
      <c r="I66" s="41"/>
      <c r="J66" s="6"/>
      <c r="K66" s="6"/>
      <c r="L66" s="6"/>
      <c r="M66" s="6"/>
      <c r="N66" s="6"/>
    </row>
    <row r="67" spans="1:14" s="7" customFormat="1">
      <c r="A67" s="21" t="s">
        <v>59</v>
      </c>
      <c r="B67" s="21"/>
      <c r="C67" s="41"/>
      <c r="D67" s="6"/>
      <c r="E67" s="52"/>
      <c r="F67" s="6"/>
      <c r="G67" s="6"/>
      <c r="H67" s="41"/>
      <c r="I67" s="41"/>
      <c r="J67" s="6"/>
      <c r="K67" s="6"/>
      <c r="L67" s="6"/>
      <c r="M67" s="6"/>
      <c r="N67" s="6"/>
    </row>
    <row r="68" spans="1:14" s="7" customFormat="1">
      <c r="A68" s="17">
        <v>35</v>
      </c>
      <c r="B68" s="17" t="s">
        <v>60</v>
      </c>
      <c r="C68" s="41">
        <v>500</v>
      </c>
      <c r="H68" s="41"/>
      <c r="I68" s="41"/>
      <c r="J68" s="6"/>
      <c r="K68" s="6"/>
      <c r="L68" s="6"/>
      <c r="M68" s="6"/>
      <c r="N68" s="6"/>
    </row>
    <row r="69" spans="1:14" s="7" customFormat="1">
      <c r="A69" s="17">
        <v>36</v>
      </c>
      <c r="B69" s="17" t="s">
        <v>59</v>
      </c>
      <c r="C69" s="41">
        <v>3000</v>
      </c>
      <c r="D69" s="6"/>
      <c r="E69" s="52">
        <v>110</v>
      </c>
      <c r="F69" s="6"/>
      <c r="G69" s="6"/>
      <c r="H69" s="41"/>
      <c r="I69" s="41">
        <v>250</v>
      </c>
      <c r="J69" s="6"/>
      <c r="K69" s="6"/>
      <c r="L69" s="6"/>
      <c r="M69" s="6"/>
      <c r="N69" s="6"/>
    </row>
    <row r="70" spans="1:14" s="3" customFormat="1">
      <c r="A70" s="14" t="s">
        <v>61</v>
      </c>
      <c r="B70" s="14"/>
      <c r="C70" s="42">
        <f>SUM(C68:C69)</f>
        <v>3500</v>
      </c>
      <c r="D70" s="48">
        <f>SUM(D68:D69)</f>
        <v>0</v>
      </c>
      <c r="E70" s="48">
        <f t="shared" ref="E70:G70" si="13">SUM(E68:E69)</f>
        <v>110</v>
      </c>
      <c r="F70" s="48">
        <f t="shared" si="13"/>
        <v>0</v>
      </c>
      <c r="G70" s="48">
        <f t="shared" si="13"/>
        <v>0</v>
      </c>
      <c r="H70" s="42">
        <f t="shared" ref="H70:L70" si="14">SUM(H68:H69)</f>
        <v>0</v>
      </c>
      <c r="I70" s="42">
        <f t="shared" si="14"/>
        <v>250</v>
      </c>
      <c r="J70" s="2"/>
      <c r="K70" s="42">
        <f t="shared" si="14"/>
        <v>0</v>
      </c>
      <c r="L70" s="42">
        <f t="shared" si="14"/>
        <v>0</v>
      </c>
      <c r="M70" s="2"/>
      <c r="N70" s="2"/>
    </row>
    <row r="71" spans="1:14">
      <c r="A71" s="15"/>
      <c r="B71" s="15"/>
      <c r="C71" s="43"/>
      <c r="D71" s="1"/>
      <c r="E71" s="52"/>
      <c r="H71" s="43"/>
      <c r="I71" s="43"/>
    </row>
    <row r="72" spans="1:14" s="3" customFormat="1">
      <c r="A72" s="14" t="s">
        <v>62</v>
      </c>
      <c r="B72" s="14"/>
      <c r="C72" s="42"/>
      <c r="D72" s="2"/>
      <c r="E72" s="51"/>
      <c r="F72" s="2"/>
      <c r="G72" s="2"/>
      <c r="H72" s="42"/>
      <c r="I72" s="42"/>
      <c r="J72" s="2"/>
      <c r="K72" s="2"/>
      <c r="L72" s="2"/>
      <c r="M72" s="2"/>
      <c r="N72" s="2"/>
    </row>
    <row r="73" spans="1:14" s="7" customFormat="1">
      <c r="A73" s="17">
        <v>37</v>
      </c>
      <c r="B73" s="17" t="s">
        <v>63</v>
      </c>
      <c r="C73" s="41">
        <v>68500</v>
      </c>
      <c r="D73" s="6">
        <f>(236.94+145+6392.75)</f>
        <v>6774.69</v>
      </c>
      <c r="E73" s="52">
        <f>(261.04+161.6+7306)</f>
        <v>7728.64</v>
      </c>
      <c r="F73" s="6">
        <f>(278.36+181.78+8219.24)</f>
        <v>8679.3799999999992</v>
      </c>
      <c r="G73" s="6">
        <f>(278.36+181.78+8219.24)</f>
        <v>8679.3799999999992</v>
      </c>
      <c r="H73" s="41">
        <f>(317.42+206.76+9355.38)</f>
        <v>9879.56</v>
      </c>
      <c r="I73" s="41">
        <f>8384.66+309.04+194.72</f>
        <v>8888.42</v>
      </c>
      <c r="J73" s="6">
        <f>(8375.67+286.61+185.29)</f>
        <v>8847.5700000000015</v>
      </c>
      <c r="K73" s="6">
        <f>(8375.66+286.61+185.29)</f>
        <v>8847.5600000000013</v>
      </c>
      <c r="L73" s="6">
        <v>7452.77</v>
      </c>
      <c r="M73" s="6"/>
      <c r="N73" s="6"/>
    </row>
    <row r="74" spans="1:14" s="7" customFormat="1">
      <c r="A74" s="17">
        <v>38</v>
      </c>
      <c r="B74" s="17" t="s">
        <v>64</v>
      </c>
      <c r="C74" s="41">
        <v>0</v>
      </c>
      <c r="D74" s="6"/>
      <c r="E74" s="52"/>
      <c r="F74" s="6"/>
      <c r="G74" s="6"/>
      <c r="H74" s="41"/>
      <c r="I74" s="41"/>
      <c r="J74" s="6"/>
      <c r="K74" s="6"/>
      <c r="L74" s="6"/>
      <c r="M74" s="6"/>
      <c r="N74" s="6"/>
    </row>
    <row r="75" spans="1:14" s="7" customFormat="1">
      <c r="A75" s="17">
        <v>39</v>
      </c>
      <c r="B75" s="17" t="s">
        <v>65</v>
      </c>
      <c r="C75" s="41">
        <v>17000</v>
      </c>
      <c r="D75" s="6"/>
      <c r="E75" s="52"/>
      <c r="F75" s="6"/>
      <c r="G75" s="6"/>
      <c r="H75" s="41"/>
      <c r="I75" s="41"/>
      <c r="J75" s="6"/>
      <c r="K75" s="6"/>
      <c r="L75" s="6"/>
      <c r="M75" s="6"/>
      <c r="N75" s="6"/>
    </row>
    <row r="76" spans="1:14" s="7" customFormat="1">
      <c r="A76" s="17">
        <v>40</v>
      </c>
      <c r="B76" s="17" t="s">
        <v>66</v>
      </c>
      <c r="C76" s="41">
        <v>8300</v>
      </c>
      <c r="D76" s="6">
        <v>162.44</v>
      </c>
      <c r="F76" s="52">
        <v>-162.44</v>
      </c>
      <c r="G76" s="6">
        <v>656</v>
      </c>
      <c r="H76" s="41"/>
      <c r="I76" s="41">
        <v>418.16</v>
      </c>
      <c r="J76" s="6"/>
      <c r="L76" s="6"/>
      <c r="M76" s="6"/>
      <c r="N76" s="6"/>
    </row>
    <row r="77" spans="1:14" s="7" customFormat="1">
      <c r="A77" s="17">
        <v>41</v>
      </c>
      <c r="B77" s="17" t="s">
        <v>67</v>
      </c>
      <c r="C77" s="41">
        <v>0</v>
      </c>
      <c r="D77" s="6"/>
      <c r="E77" s="52"/>
      <c r="F77" s="6"/>
      <c r="G77" s="6"/>
      <c r="H77" s="41"/>
      <c r="I77" s="41"/>
      <c r="J77" s="6"/>
      <c r="K77" s="6"/>
      <c r="L77" s="6"/>
      <c r="M77" s="6"/>
      <c r="N77" s="6"/>
    </row>
    <row r="78" spans="1:14" s="3" customFormat="1">
      <c r="A78" s="14" t="s">
        <v>68</v>
      </c>
      <c r="B78" s="14"/>
      <c r="C78" s="42">
        <f t="shared" ref="C78:L78" si="15">SUM(C73:C77)</f>
        <v>93800</v>
      </c>
      <c r="D78" s="48">
        <f>SUM(D73:D77)</f>
        <v>6937.1299999999992</v>
      </c>
      <c r="E78" s="53">
        <f>SUM(E73:E77)</f>
        <v>7728.64</v>
      </c>
      <c r="F78" s="53">
        <f>SUM(F73:F77)</f>
        <v>8516.9399999999987</v>
      </c>
      <c r="G78" s="53">
        <f>SUM(G73:G77)</f>
        <v>9335.3799999999992</v>
      </c>
      <c r="H78" s="42">
        <f t="shared" si="15"/>
        <v>9879.56</v>
      </c>
      <c r="I78" s="42">
        <f t="shared" si="15"/>
        <v>9306.58</v>
      </c>
      <c r="J78" s="42">
        <f t="shared" si="15"/>
        <v>8847.5700000000015</v>
      </c>
      <c r="K78" s="42">
        <f t="shared" si="15"/>
        <v>8847.5600000000013</v>
      </c>
      <c r="L78" s="42">
        <f t="shared" si="15"/>
        <v>7452.77</v>
      </c>
      <c r="M78" s="19">
        <f>SUM(D78:L78)</f>
        <v>76852.13</v>
      </c>
      <c r="N78" s="2"/>
    </row>
    <row r="79" spans="1:14" s="3" customFormat="1" ht="19">
      <c r="A79" s="22" t="s">
        <v>69</v>
      </c>
      <c r="B79" s="28"/>
      <c r="C79" s="44">
        <f t="shared" ref="C79:L79" si="16">SUM(C19:C26, C33, C36:C48, C52:C53, C57:C64, C68:C69, C73:C77)</f>
        <v>652595</v>
      </c>
      <c r="D79" s="2">
        <f>SUM(D27,D33,D49,D54,D65,D70,D78)</f>
        <v>38614.199999999997</v>
      </c>
      <c r="E79" s="51">
        <f>SUM(E27,E33,E49,E54,E65,E70,E78)</f>
        <v>42504.19</v>
      </c>
      <c r="F79" s="51">
        <f>SUM(F27,F33,F49,F54,F65,F70,F78)</f>
        <v>34212.259999999995</v>
      </c>
      <c r="G79" s="51">
        <f>SUM(G27,G33,G49,G54,G65,G70,G78)</f>
        <v>42557.72</v>
      </c>
      <c r="H79" s="44">
        <f t="shared" si="16"/>
        <v>71807.58</v>
      </c>
      <c r="I79" s="44">
        <f t="shared" si="16"/>
        <v>79093.119999999995</v>
      </c>
      <c r="J79" s="44">
        <f t="shared" si="16"/>
        <v>77259.209999999992</v>
      </c>
      <c r="K79" s="44">
        <f t="shared" si="16"/>
        <v>76804.5</v>
      </c>
      <c r="L79" s="44">
        <f t="shared" si="16"/>
        <v>72531.350000000006</v>
      </c>
      <c r="M79" s="31">
        <f>SUM(D79:L79)</f>
        <v>535384.13</v>
      </c>
      <c r="N79" s="2"/>
    </row>
    <row r="80" spans="1:14" s="7" customFormat="1">
      <c r="A80" s="6" t="s">
        <v>77</v>
      </c>
      <c r="B80" s="6"/>
      <c r="C80" s="41"/>
      <c r="D80" s="1">
        <f>SUM(D19:D21,D25,D33,D49,D53:D53,D65,D70,D78)</f>
        <v>36359.25</v>
      </c>
      <c r="E80" s="50">
        <f>SUM(E19:E21,E25,E33,E49,E53:E53,E65,E70,E78)</f>
        <v>39696.04</v>
      </c>
      <c r="F80" s="50">
        <f>SUM(F19:F21,F25,F33,F49,F53:F53,F65,F70,F78)</f>
        <v>31599.54</v>
      </c>
      <c r="G80" s="50">
        <f>SUM(G19:G21,G25,G33,G49,G53:G53,G65,G70,G78)</f>
        <v>39864.049999999996</v>
      </c>
      <c r="H80" s="41">
        <f>SUM(H19:H21,H25,H33,H49,H65,H70,H78)</f>
        <v>63381.079999999994</v>
      </c>
      <c r="I80" s="41">
        <f>SUM(I19:I21,I25,I33,I49,I65,I70,I78)</f>
        <v>69060.87</v>
      </c>
      <c r="J80" s="41">
        <f>SUM(J19:J21,J25,J33,J49,J65,J70,J78)</f>
        <v>67376.009999999995</v>
      </c>
      <c r="K80" s="41">
        <f>SUM(K19:K21,K25,K33,K49,K65,K70,K78)</f>
        <v>67385.25</v>
      </c>
      <c r="L80" s="41">
        <f>SUM(L19:L21,L25,L33,L49,L65,L70,L78)</f>
        <v>64047.350000000006</v>
      </c>
      <c r="M80" s="6"/>
      <c r="N80" s="6"/>
    </row>
    <row r="81" spans="1:15" s="7" customFormat="1">
      <c r="A81" s="29"/>
      <c r="B81" s="29"/>
      <c r="C81" s="41"/>
      <c r="H81" s="41"/>
      <c r="I81" s="41"/>
      <c r="J81" s="6"/>
      <c r="K81" s="6"/>
      <c r="L81" s="6"/>
      <c r="M81" s="6"/>
      <c r="N81" s="6"/>
    </row>
    <row r="82" spans="1:15" s="3" customFormat="1">
      <c r="A82" s="2" t="s">
        <v>70</v>
      </c>
      <c r="B82" s="2"/>
      <c r="C82" s="42">
        <f>C15</f>
        <v>755000</v>
      </c>
      <c r="D82" s="48">
        <v>21335.38</v>
      </c>
      <c r="E82" s="53">
        <v>27847.579999999998</v>
      </c>
      <c r="F82" s="48">
        <v>25859.010000000002</v>
      </c>
      <c r="G82" s="48">
        <v>26625.31</v>
      </c>
      <c r="H82" s="42">
        <f t="shared" ref="H82:L82" si="17">H15</f>
        <v>89790.25</v>
      </c>
      <c r="I82" s="42">
        <f t="shared" si="17"/>
        <v>107340.24</v>
      </c>
      <c r="J82" s="42">
        <f t="shared" si="17"/>
        <v>101474.17</v>
      </c>
      <c r="K82" s="42">
        <f t="shared" si="17"/>
        <v>103699.17</v>
      </c>
      <c r="L82" s="42">
        <f t="shared" si="17"/>
        <v>93430.1</v>
      </c>
      <c r="M82" s="30"/>
      <c r="N82" s="2"/>
    </row>
    <row r="83" spans="1:15" s="7" customFormat="1">
      <c r="A83" s="6"/>
      <c r="B83" s="6"/>
      <c r="C83" s="41"/>
      <c r="D83" s="6"/>
      <c r="E83" s="52"/>
      <c r="F83" s="6"/>
      <c r="G83" s="6"/>
      <c r="H83" s="41"/>
      <c r="I83" s="41"/>
      <c r="J83" s="6"/>
      <c r="K83" s="6"/>
      <c r="L83" s="6"/>
      <c r="M83" s="6"/>
      <c r="N83" s="6"/>
    </row>
    <row r="84" spans="1:15" s="3" customFormat="1">
      <c r="A84" s="2" t="s">
        <v>71</v>
      </c>
      <c r="B84" s="2"/>
      <c r="C84" s="42">
        <f>C78+C70+C65+C54+C49+C33+C27</f>
        <v>652595</v>
      </c>
      <c r="D84" s="2"/>
      <c r="E84" s="51"/>
      <c r="F84" s="51"/>
      <c r="G84" s="51"/>
      <c r="H84" s="42">
        <f t="shared" ref="H84:L84" si="18">H78+H70+H65+H54+H49+H33+H27</f>
        <v>71807.58</v>
      </c>
      <c r="I84" s="42">
        <f t="shared" si="18"/>
        <v>79093.119999999995</v>
      </c>
      <c r="J84" s="42">
        <f t="shared" si="18"/>
        <v>77259.209999999992</v>
      </c>
      <c r="K84" s="42">
        <f t="shared" si="18"/>
        <v>76804.5</v>
      </c>
      <c r="L84" s="42">
        <f t="shared" si="18"/>
        <v>72531.350000000006</v>
      </c>
      <c r="M84" s="30"/>
      <c r="N84" s="2"/>
    </row>
    <row r="85" spans="1:15" s="7" customFormat="1">
      <c r="A85" s="6"/>
      <c r="B85" s="6"/>
      <c r="C85" s="41"/>
      <c r="D85" s="5"/>
      <c r="E85" s="5"/>
      <c r="F85" s="5"/>
      <c r="G85" s="5"/>
      <c r="H85" s="41"/>
      <c r="I85" s="41"/>
      <c r="J85" s="6"/>
      <c r="K85" s="6"/>
      <c r="L85" s="6"/>
      <c r="M85" s="6"/>
      <c r="N85" s="6"/>
    </row>
    <row r="86" spans="1:15" s="3" customFormat="1">
      <c r="A86" s="2" t="s">
        <v>72</v>
      </c>
      <c r="B86" s="2"/>
      <c r="C86" s="45">
        <f>C82-C84</f>
        <v>102405</v>
      </c>
      <c r="D86" s="46">
        <f>21336.58-38614.2</f>
        <v>-17277.619999999995</v>
      </c>
      <c r="E86" s="46">
        <f>27847.58-42394.19</f>
        <v>-14546.61</v>
      </c>
      <c r="F86" s="46">
        <f>25859.01-34212.26</f>
        <v>-8353.2500000000036</v>
      </c>
      <c r="G86" s="46">
        <f>26625.31-42557.72</f>
        <v>-15932.41</v>
      </c>
      <c r="H86" s="45">
        <f t="shared" ref="H86:L86" si="19">H82-H84</f>
        <v>17982.669999999998</v>
      </c>
      <c r="I86" s="45">
        <f t="shared" si="19"/>
        <v>28247.12000000001</v>
      </c>
      <c r="J86" s="45">
        <f t="shared" si="19"/>
        <v>24214.960000000006</v>
      </c>
      <c r="K86" s="45">
        <f t="shared" si="19"/>
        <v>26894.67</v>
      </c>
      <c r="L86" s="45">
        <f t="shared" si="19"/>
        <v>20898.75</v>
      </c>
      <c r="M86" s="31">
        <f>SUM(D86:L86)</f>
        <v>62128.280000000013</v>
      </c>
      <c r="N86" s="2"/>
    </row>
    <row r="87" spans="1:15">
      <c r="C87" s="43"/>
      <c r="H87" s="43"/>
      <c r="I87" s="43"/>
      <c r="O87" s="32"/>
    </row>
    <row r="88" spans="1:15">
      <c r="C88" s="43"/>
      <c r="H88" s="43"/>
      <c r="I88" s="43"/>
    </row>
    <row r="89" spans="1:15">
      <c r="C89" s="43"/>
      <c r="H89" s="43"/>
      <c r="I89" s="43"/>
    </row>
    <row r="90" spans="1:15">
      <c r="C90" s="43"/>
      <c r="H90" s="43"/>
      <c r="I90" s="43"/>
    </row>
    <row r="91" spans="1:15">
      <c r="C91" s="43"/>
      <c r="H91" s="43"/>
      <c r="I91" s="43"/>
    </row>
    <row r="92" spans="1:15">
      <c r="C92" s="43"/>
      <c r="H92" s="43"/>
      <c r="I92" s="43"/>
    </row>
    <row r="93" spans="1:15">
      <c r="C93" s="43"/>
      <c r="H93" s="43"/>
      <c r="I93" s="43"/>
    </row>
    <row r="94" spans="1:15">
      <c r="C94" s="43"/>
      <c r="H94" s="43"/>
      <c r="I94" s="43"/>
    </row>
    <row r="95" spans="1:15">
      <c r="C95" s="43"/>
      <c r="H95" s="43"/>
      <c r="I95" s="43"/>
    </row>
    <row r="96" spans="1:15">
      <c r="C96" s="43"/>
      <c r="H96" s="43"/>
      <c r="I96" s="43"/>
    </row>
    <row r="97" spans="3:9">
      <c r="C97" s="43"/>
      <c r="H97" s="43"/>
      <c r="I97" s="43"/>
    </row>
    <row r="98" spans="3:9">
      <c r="C98" s="43"/>
      <c r="H98" s="43"/>
      <c r="I98" s="43"/>
    </row>
    <row r="99" spans="3:9">
      <c r="C99" s="43"/>
      <c r="H99" s="43"/>
      <c r="I99" s="43"/>
    </row>
    <row r="100" spans="3:9">
      <c r="C100" s="43"/>
      <c r="H100" s="43"/>
      <c r="I100" s="43"/>
    </row>
    <row r="101" spans="3:9">
      <c r="C101" s="43"/>
      <c r="H101" s="43"/>
      <c r="I101" s="43"/>
    </row>
    <row r="102" spans="3:9">
      <c r="C102" s="43"/>
      <c r="H102" s="43"/>
      <c r="I102" s="43"/>
    </row>
    <row r="103" spans="3:9">
      <c r="C103" s="43"/>
      <c r="H103" s="43"/>
      <c r="I103" s="43"/>
    </row>
    <row r="104" spans="3:9">
      <c r="C104" s="43"/>
      <c r="H104" s="43"/>
      <c r="I104" s="43"/>
    </row>
    <row r="105" spans="3:9">
      <c r="C105" s="43"/>
      <c r="H105" s="43"/>
      <c r="I105" s="43"/>
    </row>
    <row r="106" spans="3:9">
      <c r="C106" s="43"/>
      <c r="H106" s="43"/>
      <c r="I106" s="43"/>
    </row>
    <row r="107" spans="3:9">
      <c r="C107" s="43"/>
      <c r="H107" s="43"/>
      <c r="I107" s="43"/>
    </row>
    <row r="108" spans="3:9">
      <c r="C108" s="43"/>
      <c r="H108" s="43"/>
      <c r="I108" s="43"/>
    </row>
    <row r="109" spans="3:9">
      <c r="C109" s="43"/>
      <c r="H109" s="43"/>
      <c r="I109" s="43"/>
    </row>
    <row r="110" spans="3:9">
      <c r="C110" s="43"/>
      <c r="H110" s="43"/>
      <c r="I110" s="43"/>
    </row>
    <row r="111" spans="3:9">
      <c r="C111" s="43"/>
      <c r="H111" s="43"/>
      <c r="I111" s="43"/>
    </row>
    <row r="112" spans="3:9">
      <c r="C112" s="43"/>
      <c r="H112" s="43"/>
      <c r="I112" s="43"/>
    </row>
    <row r="113" spans="3:9">
      <c r="C113" s="43"/>
      <c r="H113" s="43"/>
      <c r="I113" s="43"/>
    </row>
    <row r="114" spans="3:9">
      <c r="C114" s="43"/>
      <c r="H114" s="43"/>
      <c r="I114" s="43"/>
    </row>
    <row r="115" spans="3:9">
      <c r="C115" s="43"/>
      <c r="H115" s="43"/>
      <c r="I115" s="43"/>
    </row>
    <row r="116" spans="3:9">
      <c r="C116" s="43"/>
      <c r="H116" s="43"/>
      <c r="I116" s="43"/>
    </row>
    <row r="117" spans="3:9">
      <c r="C117" s="43"/>
      <c r="H117" s="43"/>
      <c r="I117" s="43"/>
    </row>
    <row r="118" spans="3:9">
      <c r="C118" s="43"/>
      <c r="H118" s="43"/>
      <c r="I118" s="43"/>
    </row>
    <row r="119" spans="3:9">
      <c r="C119" s="43"/>
      <c r="H119" s="43"/>
      <c r="I119" s="43"/>
    </row>
    <row r="120" spans="3:9">
      <c r="C120" s="43"/>
      <c r="H120" s="43"/>
      <c r="I120" s="43"/>
    </row>
    <row r="121" spans="3:9">
      <c r="C121" s="43"/>
      <c r="H121" s="43"/>
      <c r="I121" s="43"/>
    </row>
    <row r="122" spans="3:9">
      <c r="C122" s="43"/>
      <c r="H122" s="43"/>
      <c r="I122" s="43"/>
    </row>
    <row r="123" spans="3:9">
      <c r="C123" s="43"/>
      <c r="H123" s="43"/>
      <c r="I123" s="43"/>
    </row>
    <row r="124" spans="3:9">
      <c r="C124" s="43"/>
      <c r="H124" s="43"/>
      <c r="I124" s="43"/>
    </row>
    <row r="125" spans="3:9">
      <c r="C125" s="43"/>
      <c r="H125" s="43"/>
      <c r="I125" s="43"/>
    </row>
    <row r="126" spans="3:9">
      <c r="C126" s="43"/>
      <c r="H126" s="43"/>
      <c r="I126" s="43"/>
    </row>
    <row r="127" spans="3:9">
      <c r="C127" s="43"/>
      <c r="H127" s="43"/>
      <c r="I127" s="43"/>
    </row>
    <row r="128" spans="3:9">
      <c r="C128" s="43"/>
      <c r="H128" s="43"/>
      <c r="I128" s="43"/>
    </row>
    <row r="129" spans="3:9">
      <c r="C129" s="43"/>
      <c r="H129" s="43"/>
      <c r="I129" s="43"/>
    </row>
    <row r="130" spans="3:9">
      <c r="C130" s="43"/>
      <c r="H130" s="43"/>
      <c r="I130" s="43"/>
    </row>
    <row r="131" spans="3:9">
      <c r="C131" s="43"/>
      <c r="H131" s="43"/>
      <c r="I131" s="43"/>
    </row>
    <row r="132" spans="3:9">
      <c r="C132" s="43"/>
      <c r="H132" s="43"/>
      <c r="I132" s="43"/>
    </row>
    <row r="133" spans="3:9">
      <c r="C133" s="43"/>
      <c r="H133" s="43"/>
      <c r="I133" s="43"/>
    </row>
    <row r="134" spans="3:9">
      <c r="C134" s="43"/>
      <c r="H134" s="43"/>
      <c r="I134" s="43"/>
    </row>
    <row r="135" spans="3:9">
      <c r="C135" s="43"/>
      <c r="H135" s="43"/>
      <c r="I135" s="43"/>
    </row>
    <row r="136" spans="3:9">
      <c r="C136" s="43"/>
      <c r="H136" s="43"/>
      <c r="I136" s="43"/>
    </row>
    <row r="137" spans="3:9">
      <c r="C137" s="43"/>
      <c r="H137" s="43"/>
      <c r="I137" s="43"/>
    </row>
    <row r="138" spans="3:9">
      <c r="C138" s="43"/>
      <c r="H138" s="43"/>
      <c r="I138" s="43"/>
    </row>
    <row r="139" spans="3:9">
      <c r="C139" s="43"/>
      <c r="H139" s="43"/>
      <c r="I139" s="43"/>
    </row>
    <row r="140" spans="3:9">
      <c r="C140" s="43"/>
      <c r="H140" s="43"/>
      <c r="I140" s="43"/>
    </row>
  </sheetData>
  <mergeCells count="1">
    <mergeCell ref="A2:B2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2020-09-28T16:46:23Z</dcterms:created>
  <dcterms:modified xsi:type="dcterms:W3CDTF">2021-02-22T17:11:29Z</dcterms:modified>
</cp:coreProperties>
</file>